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DocumentsD2017\Kalkyl_Grönsaker_2019\Publicering\"/>
    </mc:Choice>
  </mc:AlternateContent>
  <xr:revisionPtr revIDLastSave="0" documentId="13_ncr:1_{6003508D-A4FA-4073-9702-F11ECF6B31D4}" xr6:coauthVersionLast="45" xr6:coauthVersionMax="45" xr10:uidLastSave="{00000000-0000-0000-0000-000000000000}"/>
  <bookViews>
    <workbookView xWindow="30600" yWindow="1020" windowWidth="27312" windowHeight="14256" tabRatio="732" activeTab="1" xr2:uid="{00000000-000D-0000-FFFF-FFFF00000000}"/>
  </bookViews>
  <sheets>
    <sheet name="Jämförelse" sheetId="52" r:id="rId1"/>
    <sheet name="Grunduppgifter" sheetId="41" r:id="rId2"/>
    <sheet name="Morot 1" sheetId="43" r:id="rId3"/>
    <sheet name="Morot arbete 1" sheetId="40" r:id="rId4"/>
    <sheet name="Buntmorot 1" sheetId="44" r:id="rId5"/>
    <sheet name="Buntlök 1" sheetId="45" r:id="rId6"/>
    <sheet name="Sättlök 1" sheetId="46" r:id="rId7"/>
    <sheet name="Broccoli 1 " sheetId="48" r:id="rId8"/>
    <sheet name="Broccoli arbete 1" sheetId="38" r:id="rId9"/>
    <sheet name="Vitkål 1 " sheetId="49" r:id="rId10"/>
    <sheet name="Brytböna 1" sheetId="50" r:id="rId11"/>
    <sheet name="Sockerärt 1" sheetId="51" r:id="rId12"/>
    <sheet name="Gröngödsling 1" sheetId="37" r:id="rId13"/>
    <sheet name="Lantbruk" sheetId="54" r:id="rId14"/>
    <sheet name="Maskiner 1" sheetId="31" r:id="rId15"/>
  </sheets>
  <definedNames>
    <definedName name="arsangivelse" localSheetId="12">#REF!</definedName>
    <definedName name="arsangivelse">#REF!</definedName>
    <definedName name="blue_a1">#REF!</definedName>
    <definedName name="blue_a10">#REF!</definedName>
    <definedName name="blue_a11" localSheetId="12">#REF!</definedName>
    <definedName name="blue_a11">#REF!</definedName>
    <definedName name="blue_a12" localSheetId="12">#REF!</definedName>
    <definedName name="blue_a12">#REF!</definedName>
    <definedName name="blue_a13" localSheetId="12">#REF!</definedName>
    <definedName name="blue_a13">#REF!</definedName>
    <definedName name="blue_a14" localSheetId="12">#REF!</definedName>
    <definedName name="blue_a14">#REF!</definedName>
    <definedName name="blue_a15" localSheetId="12">#REF!</definedName>
    <definedName name="blue_a15">#REF!</definedName>
    <definedName name="blue_a16">#REF!</definedName>
    <definedName name="blue_a17" localSheetId="12">#REF!</definedName>
    <definedName name="blue_a17">#REF!</definedName>
    <definedName name="blue_a18" localSheetId="12">#REF!</definedName>
    <definedName name="blue_a18">#REF!</definedName>
    <definedName name="blue_a19" localSheetId="12">#REF!</definedName>
    <definedName name="blue_a19">#REF!</definedName>
    <definedName name="blue_a2">#REF!</definedName>
    <definedName name="blue_a20" localSheetId="12">#REF!</definedName>
    <definedName name="blue_a20">#REF!</definedName>
    <definedName name="blue_a3" localSheetId="12">#REF!</definedName>
    <definedName name="blue_a3">#REF!</definedName>
    <definedName name="blue_a4" localSheetId="12">#REF!</definedName>
    <definedName name="blue_a4">#REF!</definedName>
    <definedName name="blue_a5" localSheetId="12">#REF!</definedName>
    <definedName name="blue_a5">#REF!</definedName>
    <definedName name="blue_a6" localSheetId="12">#REF!</definedName>
    <definedName name="blue_a6">#REF!</definedName>
    <definedName name="blue_a7" localSheetId="12">#REF!</definedName>
    <definedName name="blue_a7">#REF!</definedName>
    <definedName name="blue_a8" localSheetId="12">#REF!</definedName>
    <definedName name="blue_a8">#REF!</definedName>
    <definedName name="blue_a9" localSheetId="12">#REF!</definedName>
    <definedName name="blue_a9">#REF!</definedName>
    <definedName name="egendatadescription">#REF!</definedName>
    <definedName name="egendatavalue" localSheetId="12">#REF!</definedName>
    <definedName name="egendatavalue">#REF!</definedName>
    <definedName name="grunddatadescription">#REF!</definedName>
    <definedName name="grunddatavalue">#REF!</definedName>
    <definedName name="kalklass" localSheetId="12">#REF!</definedName>
    <definedName name="kalklass">#REF!</definedName>
    <definedName name="omrgmb" localSheetId="12">#REF!</definedName>
    <definedName name="omrgmb">#REF!</definedName>
    <definedName name="omrgns" localSheetId="12">#REF!</definedName>
    <definedName name="omrgns">#REF!</definedName>
    <definedName name="omrgsk" localSheetId="12">#REF!</definedName>
    <definedName name="omrgsk">#REF!</definedName>
    <definedName name="omrgss" localSheetId="12">#REF!</definedName>
    <definedName name="omrgss">#REF!</definedName>
    <definedName name="omrnn" localSheetId="12">#REF!</definedName>
    <definedName name="omrnn">#REF!</definedName>
    <definedName name="omrno" localSheetId="12">#REF!</definedName>
    <definedName name="omrno">#REF!</definedName>
    <definedName name="omrspecial" localSheetId="12">#REF!</definedName>
    <definedName name="omrspecial">#REF!</definedName>
    <definedName name="omrss" localSheetId="12">#REF!</definedName>
    <definedName name="omrss">#REF!</definedName>
    <definedName name="omrssk" localSheetId="12">#REF!</definedName>
    <definedName name="omrssk">#REF!</definedName>
    <definedName name="palklass" localSheetId="12">#REF!</definedName>
    <definedName name="palklass">#REF!</definedName>
    <definedName name="postbeskrivning" localSheetId="12">#REF!</definedName>
    <definedName name="postbeskrivning">#REF!</definedName>
    <definedName name="prodregion" localSheetId="12">#REF!</definedName>
    <definedName name="prodregion">#REF!</definedName>
    <definedName name="prodstorlek" localSheetId="12">#REF!</definedName>
    <definedName name="prodstorlek">#REF!</definedName>
    <definedName name="prodstorleksalternativ" localSheetId="12">#REF!</definedName>
    <definedName name="prodstorleksalternativ">#REF!</definedName>
    <definedName name="prodstorleksdata" localSheetId="12">#REF!</definedName>
    <definedName name="prodstorleksdata">#REF!</definedName>
    <definedName name="stodblock" localSheetId="12">#REF!</definedName>
    <definedName name="stodblock">#REF!</definedName>
    <definedName name="stodenheter" localSheetId="12">#REF!</definedName>
    <definedName name="stodenheter">#REF!</definedName>
    <definedName name="stodomrade" localSheetId="12">#REF!</definedName>
    <definedName name="stodomrade">#REF!</definedName>
    <definedName name="texthuvud">#REF!</definedName>
    <definedName name="transaktionsdatum" localSheetId="12">#REF!</definedName>
    <definedName name="transaktionsdatum">#REF!</definedName>
    <definedName name="_xlnm.Print_Area" localSheetId="8">'Broccoli arbete 1'!$A$1:$M$68</definedName>
    <definedName name="_xlnm.Print_Area" localSheetId="12">'Gröngödsling 1'!$A$1:$G$31</definedName>
    <definedName name="_xlnm.Print_Area" localSheetId="14">'Maskiner 1'!$A$1:$J$32</definedName>
    <definedName name="_xlnm.Print_Area" localSheetId="3">'Morot arbete 1'!$A$1:$O$73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52" l="1"/>
  <c r="D7" i="52"/>
  <c r="D8" i="52"/>
  <c r="D9" i="52"/>
  <c r="D10" i="52"/>
  <c r="D11" i="52"/>
  <c r="D12" i="52"/>
  <c r="D13" i="52"/>
  <c r="D6" i="52"/>
  <c r="C7" i="52"/>
  <c r="C8" i="52"/>
  <c r="C9" i="52"/>
  <c r="C10" i="52"/>
  <c r="C11" i="52"/>
  <c r="C12" i="52"/>
  <c r="C13" i="52"/>
  <c r="C6" i="52"/>
  <c r="I107" i="41"/>
  <c r="H107" i="41"/>
  <c r="G107" i="41"/>
  <c r="F107" i="41"/>
  <c r="E107" i="41"/>
  <c r="D107" i="41"/>
  <c r="C107" i="41"/>
  <c r="B107" i="41"/>
  <c r="I100" i="41"/>
  <c r="I101" i="41"/>
  <c r="I102" i="41"/>
  <c r="I103" i="41"/>
  <c r="I104" i="41"/>
  <c r="B100" i="41"/>
  <c r="C100" i="41"/>
  <c r="D100" i="41"/>
  <c r="E100" i="41"/>
  <c r="F100" i="41"/>
  <c r="G100" i="41"/>
  <c r="H100" i="41"/>
  <c r="H105" i="41" s="1"/>
  <c r="B101" i="41"/>
  <c r="C101" i="41"/>
  <c r="D101" i="41"/>
  <c r="E101" i="41"/>
  <c r="F101" i="41"/>
  <c r="G101" i="41"/>
  <c r="H101" i="41"/>
  <c r="B102" i="41"/>
  <c r="C102" i="41"/>
  <c r="D102" i="41"/>
  <c r="E102" i="41"/>
  <c r="F102" i="41"/>
  <c r="G102" i="41"/>
  <c r="H102" i="41"/>
  <c r="B103" i="41"/>
  <c r="C103" i="41"/>
  <c r="D103" i="41"/>
  <c r="D105" i="41" s="1"/>
  <c r="E103" i="41"/>
  <c r="F103" i="41"/>
  <c r="G103" i="41"/>
  <c r="H103" i="41"/>
  <c r="B104" i="41"/>
  <c r="C104" i="41"/>
  <c r="D104" i="41"/>
  <c r="E104" i="41"/>
  <c r="E105" i="41" s="1"/>
  <c r="F104" i="41"/>
  <c r="G104" i="41"/>
  <c r="H104" i="41"/>
  <c r="I99" i="41"/>
  <c r="H99" i="41"/>
  <c r="G99" i="41"/>
  <c r="F99" i="41"/>
  <c r="F105" i="41" s="1"/>
  <c r="E99" i="41"/>
  <c r="D99" i="41"/>
  <c r="C99" i="41"/>
  <c r="B99" i="41"/>
  <c r="I105" i="41"/>
  <c r="G105" i="41"/>
  <c r="B105" i="41" l="1"/>
  <c r="C105" i="41"/>
  <c r="D26" i="54"/>
  <c r="E26" i="54" s="1"/>
  <c r="D25" i="54"/>
  <c r="E25" i="54" s="1"/>
  <c r="D24" i="54"/>
  <c r="E24" i="54" s="1"/>
  <c r="D23" i="54"/>
  <c r="E23" i="54" s="1"/>
  <c r="D15" i="54"/>
  <c r="D8" i="54"/>
  <c r="E8" i="54" s="1"/>
  <c r="C12" i="54"/>
  <c r="E12" i="54"/>
  <c r="E13" i="54"/>
  <c r="E22" i="54"/>
  <c r="C39" i="54"/>
  <c r="E39" i="54"/>
  <c r="C14" i="54" s="1"/>
  <c r="E14" i="54" s="1"/>
  <c r="N15" i="41" l="1"/>
  <c r="C15" i="54"/>
  <c r="E15" i="54" s="1"/>
  <c r="E16" i="54" s="1"/>
  <c r="D96" i="51"/>
  <c r="D94" i="50"/>
  <c r="D94" i="49"/>
  <c r="D94" i="48"/>
  <c r="K32" i="38" s="1"/>
  <c r="D94" i="46"/>
  <c r="D94" i="45"/>
  <c r="D94" i="43"/>
  <c r="L33" i="40" s="1"/>
  <c r="D94" i="44"/>
  <c r="L50" i="40" l="1"/>
  <c r="L58" i="40"/>
  <c r="L66" i="40"/>
  <c r="L51" i="40"/>
  <c r="L52" i="40"/>
  <c r="L68" i="40"/>
  <c r="L53" i="40"/>
  <c r="L69" i="40"/>
  <c r="L64" i="40"/>
  <c r="L67" i="40"/>
  <c r="L54" i="40"/>
  <c r="L62" i="40"/>
  <c r="L70" i="40"/>
  <c r="L55" i="40"/>
  <c r="L63" i="40"/>
  <c r="L49" i="40"/>
  <c r="L72" i="40" s="1"/>
  <c r="L71" i="40"/>
  <c r="L57" i="40"/>
  <c r="L65" i="40"/>
  <c r="L59" i="40"/>
  <c r="L60" i="40"/>
  <c r="L61" i="40"/>
  <c r="L56" i="40"/>
  <c r="K55" i="38"/>
  <c r="K63" i="38"/>
  <c r="K48" i="38"/>
  <c r="K56" i="38"/>
  <c r="K64" i="38"/>
  <c r="K57" i="38"/>
  <c r="K58" i="38"/>
  <c r="K61" i="38"/>
  <c r="K51" i="38"/>
  <c r="K59" i="38"/>
  <c r="K47" i="38"/>
  <c r="K52" i="38"/>
  <c r="K60" i="38"/>
  <c r="K54" i="38"/>
  <c r="K62" i="38"/>
  <c r="K49" i="38"/>
  <c r="K65" i="38"/>
  <c r="K50" i="38"/>
  <c r="K66" i="38"/>
  <c r="K53" i="38"/>
  <c r="D17" i="51"/>
  <c r="E17" i="51" s="1"/>
  <c r="A17" i="44"/>
  <c r="K68" i="38" l="1"/>
  <c r="C5" i="45"/>
  <c r="C5" i="44"/>
  <c r="D64" i="51"/>
  <c r="D63" i="50"/>
  <c r="D63" i="49"/>
  <c r="D63" i="48"/>
  <c r="D63" i="46"/>
  <c r="D63" i="45"/>
  <c r="D63" i="44"/>
  <c r="C64" i="51"/>
  <c r="C63" i="50"/>
  <c r="C63" i="49"/>
  <c r="C63" i="48"/>
  <c r="C63" i="46"/>
  <c r="C63" i="45"/>
  <c r="C63" i="44"/>
  <c r="D63" i="43" l="1"/>
  <c r="C63" i="43"/>
  <c r="D81" i="49" l="1"/>
  <c r="C81" i="49"/>
  <c r="D81" i="48"/>
  <c r="C81" i="48"/>
  <c r="D81" i="46" l="1"/>
  <c r="C81" i="46"/>
  <c r="D81" i="45"/>
  <c r="C81" i="45"/>
  <c r="D26" i="37" l="1"/>
  <c r="D25" i="37"/>
  <c r="E25" i="37" s="1"/>
  <c r="D71" i="51"/>
  <c r="D70" i="50"/>
  <c r="D70" i="49"/>
  <c r="D70" i="48"/>
  <c r="D70" i="46"/>
  <c r="D70" i="45"/>
  <c r="D70" i="44"/>
  <c r="D70" i="51"/>
  <c r="D69" i="50"/>
  <c r="D69" i="49"/>
  <c r="D69" i="48"/>
  <c r="D69" i="46"/>
  <c r="D69" i="45"/>
  <c r="D69" i="44"/>
  <c r="D70" i="43"/>
  <c r="D69" i="43"/>
  <c r="C24" i="37"/>
  <c r="C34" i="51"/>
  <c r="C33" i="50"/>
  <c r="C33" i="49"/>
  <c r="C33" i="48"/>
  <c r="C33" i="46"/>
  <c r="C33" i="45"/>
  <c r="C33" i="44"/>
  <c r="C33" i="43"/>
  <c r="E48" i="37"/>
  <c r="E47" i="37"/>
  <c r="E46" i="37"/>
  <c r="E49" i="37" l="1"/>
  <c r="D12" i="37" s="1"/>
  <c r="A155" i="51" l="1"/>
  <c r="A154" i="51"/>
  <c r="A153" i="51"/>
  <c r="A153" i="50"/>
  <c r="A152" i="50"/>
  <c r="A151" i="50"/>
  <c r="A153" i="49"/>
  <c r="A154" i="49"/>
  <c r="A152" i="49"/>
  <c r="A153" i="48"/>
  <c r="A152" i="48"/>
  <c r="A151" i="48"/>
  <c r="A153" i="46"/>
  <c r="A152" i="46"/>
  <c r="A151" i="46"/>
  <c r="A153" i="45"/>
  <c r="A152" i="45"/>
  <c r="A151" i="45"/>
  <c r="A153" i="44"/>
  <c r="A152" i="44"/>
  <c r="A151" i="44"/>
  <c r="A135" i="51"/>
  <c r="A134" i="51"/>
  <c r="A133" i="51"/>
  <c r="A133" i="50"/>
  <c r="A132" i="50"/>
  <c r="A131" i="50"/>
  <c r="A133" i="49"/>
  <c r="A132" i="49"/>
  <c r="A131" i="49"/>
  <c r="A133" i="48"/>
  <c r="A132" i="48"/>
  <c r="A131" i="48"/>
  <c r="A133" i="46"/>
  <c r="A132" i="46"/>
  <c r="A131" i="46"/>
  <c r="A133" i="45"/>
  <c r="A132" i="45"/>
  <c r="A131" i="45"/>
  <c r="A133" i="44"/>
  <c r="A132" i="44"/>
  <c r="A131" i="44"/>
  <c r="A153" i="43"/>
  <c r="A152" i="43"/>
  <c r="A151" i="43"/>
  <c r="A132" i="43"/>
  <c r="A133" i="43"/>
  <c r="A131" i="43"/>
  <c r="C19" i="51" l="1"/>
  <c r="C152" i="51" s="1"/>
  <c r="B157" i="51"/>
  <c r="C139" i="51"/>
  <c r="C140" i="51" s="1"/>
  <c r="E140" i="51" s="1"/>
  <c r="D22" i="51" s="1"/>
  <c r="C134" i="51"/>
  <c r="D154" i="51" s="1"/>
  <c r="C135" i="51"/>
  <c r="D155" i="51" s="1"/>
  <c r="C133" i="51"/>
  <c r="C153" i="51" s="1"/>
  <c r="A156" i="51"/>
  <c r="F145" i="51"/>
  <c r="E139" i="51"/>
  <c r="E135" i="51"/>
  <c r="E134" i="51"/>
  <c r="E133" i="51"/>
  <c r="B155" i="50"/>
  <c r="C137" i="50"/>
  <c r="D154" i="50" s="1"/>
  <c r="C132" i="50"/>
  <c r="D152" i="50" s="1"/>
  <c r="C133" i="50"/>
  <c r="C131" i="50"/>
  <c r="A154" i="50"/>
  <c r="F143" i="50"/>
  <c r="E137" i="50"/>
  <c r="E133" i="50"/>
  <c r="E132" i="50"/>
  <c r="E131" i="50"/>
  <c r="C18" i="50"/>
  <c r="B150" i="50" s="1"/>
  <c r="B156" i="49"/>
  <c r="A155" i="49"/>
  <c r="C137" i="49"/>
  <c r="C138" i="49" s="1"/>
  <c r="C21" i="49" s="1"/>
  <c r="C132" i="49"/>
  <c r="C133" i="49"/>
  <c r="C131" i="49"/>
  <c r="D152" i="49" s="1"/>
  <c r="E137" i="49"/>
  <c r="A137" i="49"/>
  <c r="E133" i="49"/>
  <c r="E132" i="49"/>
  <c r="E131" i="49"/>
  <c r="C18" i="49"/>
  <c r="D151" i="49" s="1"/>
  <c r="C18" i="48"/>
  <c r="D150" i="48" s="1"/>
  <c r="B155" i="48"/>
  <c r="B152" i="48"/>
  <c r="C137" i="48"/>
  <c r="D154" i="48" s="1"/>
  <c r="C132" i="48"/>
  <c r="D152" i="48" s="1"/>
  <c r="C133" i="48"/>
  <c r="C131" i="48"/>
  <c r="B151" i="48" s="1"/>
  <c r="E133" i="48"/>
  <c r="E132" i="48"/>
  <c r="E131" i="48"/>
  <c r="C18" i="46"/>
  <c r="B150" i="46" s="1"/>
  <c r="C137" i="46"/>
  <c r="C138" i="46" s="1"/>
  <c r="C132" i="46"/>
  <c r="C133" i="46"/>
  <c r="D153" i="46" s="1"/>
  <c r="C131" i="46"/>
  <c r="B155" i="46"/>
  <c r="A154" i="46"/>
  <c r="F143" i="46"/>
  <c r="E137" i="46"/>
  <c r="E133" i="46"/>
  <c r="E132" i="46"/>
  <c r="E131" i="46"/>
  <c r="B155" i="45"/>
  <c r="C137" i="45"/>
  <c r="C138" i="45" s="1"/>
  <c r="C132" i="45"/>
  <c r="C133" i="45"/>
  <c r="D153" i="45" s="1"/>
  <c r="C131" i="45"/>
  <c r="C151" i="45" s="1"/>
  <c r="A154" i="45"/>
  <c r="D150" i="45"/>
  <c r="C150" i="45"/>
  <c r="B150" i="45"/>
  <c r="F143" i="45"/>
  <c r="E137" i="45"/>
  <c r="E133" i="45"/>
  <c r="B153" i="45"/>
  <c r="E132" i="45"/>
  <c r="E131" i="45"/>
  <c r="D24" i="37"/>
  <c r="D23" i="37"/>
  <c r="C18" i="44"/>
  <c r="D150" i="44" s="1"/>
  <c r="B155" i="44"/>
  <c r="C137" i="44"/>
  <c r="C138" i="44" s="1"/>
  <c r="C132" i="44"/>
  <c r="C152" i="44" s="1"/>
  <c r="C133" i="44"/>
  <c r="D153" i="44" s="1"/>
  <c r="C131" i="44"/>
  <c r="C151" i="44" s="1"/>
  <c r="A154" i="44"/>
  <c r="F143" i="44"/>
  <c r="E137" i="44"/>
  <c r="E133" i="44"/>
  <c r="E132" i="44"/>
  <c r="E131" i="44"/>
  <c r="B155" i="43"/>
  <c r="C18" i="43"/>
  <c r="C150" i="43" s="1"/>
  <c r="E137" i="43"/>
  <c r="C137" i="43"/>
  <c r="D154" i="43" s="1"/>
  <c r="E132" i="43"/>
  <c r="E133" i="43"/>
  <c r="E131" i="43"/>
  <c r="C132" i="43"/>
  <c r="C133" i="43"/>
  <c r="C131" i="43"/>
  <c r="A154" i="43"/>
  <c r="F143" i="43"/>
  <c r="C153" i="45" l="1"/>
  <c r="F133" i="48"/>
  <c r="F132" i="43"/>
  <c r="F133" i="50"/>
  <c r="D150" i="43"/>
  <c r="C138" i="50"/>
  <c r="E138" i="50" s="1"/>
  <c r="D21" i="50" s="1"/>
  <c r="B152" i="43"/>
  <c r="C151" i="48"/>
  <c r="F131" i="48"/>
  <c r="F132" i="46"/>
  <c r="D152" i="43"/>
  <c r="F133" i="46"/>
  <c r="B150" i="48"/>
  <c r="C150" i="50"/>
  <c r="D150" i="50"/>
  <c r="C152" i="50"/>
  <c r="B150" i="43"/>
  <c r="F132" i="48"/>
  <c r="D151" i="48"/>
  <c r="C152" i="43"/>
  <c r="C152" i="48"/>
  <c r="F131" i="43"/>
  <c r="B153" i="48"/>
  <c r="B156" i="48" s="1"/>
  <c r="D153" i="51"/>
  <c r="F131" i="50"/>
  <c r="C155" i="51"/>
  <c r="C22" i="51"/>
  <c r="F133" i="43"/>
  <c r="F132" i="45"/>
  <c r="F131" i="46"/>
  <c r="C150" i="48"/>
  <c r="C153" i="48"/>
  <c r="D153" i="49"/>
  <c r="C153" i="49"/>
  <c r="B153" i="49"/>
  <c r="C154" i="51"/>
  <c r="B153" i="51"/>
  <c r="D153" i="48"/>
  <c r="C138" i="48"/>
  <c r="E138" i="45"/>
  <c r="D21" i="45" s="1"/>
  <c r="C21" i="45"/>
  <c r="C21" i="44"/>
  <c r="F137" i="43"/>
  <c r="C21" i="46"/>
  <c r="D154" i="49"/>
  <c r="B154" i="49"/>
  <c r="C154" i="49"/>
  <c r="B152" i="49"/>
  <c r="C152" i="49"/>
  <c r="D151" i="44"/>
  <c r="C153" i="43"/>
  <c r="B153" i="43"/>
  <c r="D153" i="43"/>
  <c r="D151" i="43"/>
  <c r="C151" i="43"/>
  <c r="B151" i="43"/>
  <c r="D152" i="51"/>
  <c r="B152" i="51"/>
  <c r="F139" i="51"/>
  <c r="F140" i="51" s="1"/>
  <c r="D156" i="51"/>
  <c r="F134" i="51"/>
  <c r="C158" i="51"/>
  <c r="B154" i="51"/>
  <c r="F133" i="51"/>
  <c r="F135" i="51"/>
  <c r="C136" i="51"/>
  <c r="B155" i="51"/>
  <c r="F132" i="50"/>
  <c r="D153" i="50"/>
  <c r="C151" i="50"/>
  <c r="D151" i="50"/>
  <c r="B151" i="50"/>
  <c r="F137" i="50"/>
  <c r="F138" i="50" s="1"/>
  <c r="B152" i="50"/>
  <c r="C134" i="50"/>
  <c r="B153" i="50"/>
  <c r="C153" i="50"/>
  <c r="F132" i="49"/>
  <c r="B151" i="49"/>
  <c r="C151" i="49"/>
  <c r="D155" i="49"/>
  <c r="F133" i="49"/>
  <c r="C134" i="49"/>
  <c r="C20" i="49" s="1"/>
  <c r="F137" i="49"/>
  <c r="F138" i="49" s="1"/>
  <c r="E138" i="49" s="1"/>
  <c r="D21" i="49" s="1"/>
  <c r="F131" i="49"/>
  <c r="C134" i="48"/>
  <c r="C20" i="48" s="1"/>
  <c r="C150" i="46"/>
  <c r="D150" i="46"/>
  <c r="C152" i="46"/>
  <c r="D152" i="46"/>
  <c r="D151" i="46"/>
  <c r="B151" i="46"/>
  <c r="C151" i="46"/>
  <c r="D154" i="46"/>
  <c r="F137" i="46"/>
  <c r="F138" i="46" s="1"/>
  <c r="E138" i="46" s="1"/>
  <c r="D21" i="46" s="1"/>
  <c r="B152" i="46"/>
  <c r="C134" i="46"/>
  <c r="B153" i="46"/>
  <c r="C153" i="46"/>
  <c r="D154" i="45"/>
  <c r="F137" i="45"/>
  <c r="F138" i="45" s="1"/>
  <c r="D151" i="45"/>
  <c r="B151" i="45"/>
  <c r="B152" i="45"/>
  <c r="C152" i="45"/>
  <c r="C156" i="45" s="1"/>
  <c r="F131" i="45"/>
  <c r="F133" i="45"/>
  <c r="D152" i="45"/>
  <c r="C134" i="45"/>
  <c r="B150" i="44"/>
  <c r="C150" i="44"/>
  <c r="D152" i="44"/>
  <c r="F132" i="44"/>
  <c r="D154" i="44"/>
  <c r="F137" i="44"/>
  <c r="F138" i="44" s="1"/>
  <c r="E138" i="44" s="1"/>
  <c r="D21" i="44" s="1"/>
  <c r="B152" i="44"/>
  <c r="F131" i="44"/>
  <c r="C134" i="44"/>
  <c r="B153" i="44"/>
  <c r="C153" i="44"/>
  <c r="F133" i="44"/>
  <c r="B151" i="44"/>
  <c r="C138" i="43"/>
  <c r="F138" i="43"/>
  <c r="C134" i="43"/>
  <c r="C20" i="43" s="1"/>
  <c r="E143" i="49"/>
  <c r="F143" i="49" s="1"/>
  <c r="A143" i="49"/>
  <c r="C21" i="50" l="1"/>
  <c r="F134" i="48"/>
  <c r="E134" i="48" s="1"/>
  <c r="D20" i="48" s="1"/>
  <c r="F134" i="46"/>
  <c r="E134" i="46" s="1"/>
  <c r="D20" i="46" s="1"/>
  <c r="D156" i="48"/>
  <c r="D156" i="44"/>
  <c r="D156" i="50"/>
  <c r="F134" i="50"/>
  <c r="C156" i="50"/>
  <c r="C156" i="48"/>
  <c r="C20" i="50"/>
  <c r="E134" i="50"/>
  <c r="D20" i="50" s="1"/>
  <c r="B156" i="50"/>
  <c r="E136" i="51"/>
  <c r="D21" i="51" s="1"/>
  <c r="C21" i="51"/>
  <c r="C21" i="48"/>
  <c r="B156" i="45"/>
  <c r="C20" i="45"/>
  <c r="C20" i="44"/>
  <c r="C20" i="46"/>
  <c r="D156" i="46"/>
  <c r="D156" i="45"/>
  <c r="D158" i="51"/>
  <c r="B158" i="51"/>
  <c r="F136" i="51"/>
  <c r="D157" i="49"/>
  <c r="C157" i="49"/>
  <c r="B157" i="49"/>
  <c r="F134" i="49"/>
  <c r="E134" i="49" s="1"/>
  <c r="D20" i="49" s="1"/>
  <c r="C156" i="46"/>
  <c r="B156" i="46"/>
  <c r="F134" i="45"/>
  <c r="C156" i="44"/>
  <c r="B156" i="44"/>
  <c r="F134" i="44"/>
  <c r="E134" i="44" s="1"/>
  <c r="D156" i="43"/>
  <c r="E138" i="43"/>
  <c r="D21" i="43" s="1"/>
  <c r="C21" i="43"/>
  <c r="C156" i="43"/>
  <c r="B156" i="43"/>
  <c r="F134" i="43"/>
  <c r="E134" i="43" s="1"/>
  <c r="D20" i="43" s="1"/>
  <c r="E134" i="45" l="1"/>
  <c r="D20" i="45" s="1"/>
  <c r="D20" i="44"/>
  <c r="H60" i="52"/>
  <c r="G60" i="52"/>
  <c r="F60" i="52"/>
  <c r="C60" i="52"/>
  <c r="B60" i="52"/>
  <c r="I35" i="52" l="1"/>
  <c r="I36" i="52"/>
  <c r="I37" i="52"/>
  <c r="I38" i="52"/>
  <c r="I39" i="52"/>
  <c r="I40" i="52"/>
  <c r="I41" i="52"/>
  <c r="I42" i="52"/>
  <c r="I43" i="52"/>
  <c r="I47" i="52"/>
  <c r="I48" i="52"/>
  <c r="I34" i="52"/>
  <c r="H35" i="52"/>
  <c r="H36" i="52"/>
  <c r="H37" i="52"/>
  <c r="H38" i="52"/>
  <c r="H39" i="52"/>
  <c r="H40" i="52"/>
  <c r="H41" i="52"/>
  <c r="H42" i="52"/>
  <c r="H43" i="52"/>
  <c r="H47" i="52"/>
  <c r="H48" i="52"/>
  <c r="H34" i="52"/>
  <c r="G35" i="52"/>
  <c r="G37" i="52"/>
  <c r="G38" i="52"/>
  <c r="G39" i="52"/>
  <c r="G40" i="52"/>
  <c r="G41" i="52"/>
  <c r="G42" i="52"/>
  <c r="G43" i="52"/>
  <c r="G47" i="52"/>
  <c r="G34" i="52"/>
  <c r="F35" i="52"/>
  <c r="F37" i="52"/>
  <c r="F38" i="52"/>
  <c r="F39" i="52"/>
  <c r="F40" i="52"/>
  <c r="F41" i="52"/>
  <c r="F42" i="52"/>
  <c r="F43" i="52"/>
  <c r="F47" i="52"/>
  <c r="F48" i="52"/>
  <c r="F34" i="52"/>
  <c r="E35" i="52"/>
  <c r="E37" i="52"/>
  <c r="E38" i="52"/>
  <c r="E39" i="52"/>
  <c r="E40" i="52"/>
  <c r="E41" i="52"/>
  <c r="E42" i="52"/>
  <c r="E43" i="52"/>
  <c r="E47" i="52"/>
  <c r="E34" i="52"/>
  <c r="D35" i="52"/>
  <c r="D37" i="52"/>
  <c r="D38" i="52"/>
  <c r="D39" i="52"/>
  <c r="D40" i="52"/>
  <c r="D41" i="52"/>
  <c r="D42" i="52"/>
  <c r="D43" i="52"/>
  <c r="D47" i="52"/>
  <c r="D48" i="52"/>
  <c r="D34" i="52"/>
  <c r="C35" i="52"/>
  <c r="C36" i="52"/>
  <c r="C37" i="52"/>
  <c r="C38" i="52"/>
  <c r="C39" i="52"/>
  <c r="C40" i="52"/>
  <c r="C41" i="52"/>
  <c r="C42" i="52"/>
  <c r="C43" i="52"/>
  <c r="C47" i="52"/>
  <c r="C48" i="52"/>
  <c r="C34" i="52"/>
  <c r="B35" i="52"/>
  <c r="B36" i="52"/>
  <c r="B37" i="52"/>
  <c r="B38" i="52"/>
  <c r="B39" i="52"/>
  <c r="B40" i="52"/>
  <c r="B41" i="52"/>
  <c r="B42" i="52"/>
  <c r="B43" i="52"/>
  <c r="B47" i="52"/>
  <c r="B34" i="52"/>
  <c r="D23" i="52"/>
  <c r="M23" i="52" s="1"/>
  <c r="N23" i="52" s="1"/>
  <c r="D24" i="52"/>
  <c r="D25" i="52"/>
  <c r="M25" i="52" s="1"/>
  <c r="N25" i="52" s="1"/>
  <c r="D26" i="52"/>
  <c r="M26" i="52" s="1"/>
  <c r="N26" i="52" s="1"/>
  <c r="D27" i="52"/>
  <c r="M27" i="52" s="1"/>
  <c r="N27" i="52" s="1"/>
  <c r="D28" i="52"/>
  <c r="M28" i="52" s="1"/>
  <c r="N28" i="52" s="1"/>
  <c r="D29" i="52"/>
  <c r="M29" i="52" s="1"/>
  <c r="N29" i="52" s="1"/>
  <c r="D22" i="52"/>
  <c r="M22" i="52" s="1"/>
  <c r="N22" i="52" s="1"/>
  <c r="B17" i="52"/>
  <c r="B16" i="52"/>
  <c r="E13" i="52"/>
  <c r="F13" i="52" s="1"/>
  <c r="E12" i="52"/>
  <c r="F12" i="52" s="1"/>
  <c r="E11" i="52"/>
  <c r="F11" i="52" s="1"/>
  <c r="E10" i="52"/>
  <c r="F10" i="52" s="1"/>
  <c r="E9" i="52"/>
  <c r="F9" i="52" s="1"/>
  <c r="E8" i="52"/>
  <c r="F8" i="52" s="1"/>
  <c r="E7" i="52"/>
  <c r="F7" i="52" s="1"/>
  <c r="E6" i="52"/>
  <c r="F6" i="52" s="1"/>
  <c r="A144" i="49" l="1"/>
  <c r="A143" i="48"/>
  <c r="B17" i="41" l="1"/>
  <c r="A142" i="49" l="1"/>
  <c r="A142" i="48"/>
  <c r="A49" i="51"/>
  <c r="A48" i="50"/>
  <c r="A48" i="49"/>
  <c r="A48" i="48"/>
  <c r="A48" i="46"/>
  <c r="A48" i="45"/>
  <c r="A48" i="44"/>
  <c r="A48" i="43"/>
  <c r="A27" i="51"/>
  <c r="A26" i="50"/>
  <c r="A26" i="49"/>
  <c r="A26" i="48"/>
  <c r="A26" i="46"/>
  <c r="A26" i="45"/>
  <c r="A26" i="44"/>
  <c r="A19" i="51"/>
  <c r="A152" i="51" s="1"/>
  <c r="A18" i="50"/>
  <c r="A150" i="50" s="1"/>
  <c r="A18" i="49"/>
  <c r="A151" i="49" s="1"/>
  <c r="A18" i="48"/>
  <c r="A150" i="48" s="1"/>
  <c r="A18" i="46"/>
  <c r="A150" i="46" s="1"/>
  <c r="A18" i="45"/>
  <c r="A150" i="45" s="1"/>
  <c r="A18" i="44"/>
  <c r="A150" i="44" s="1"/>
  <c r="A17" i="50"/>
  <c r="A17" i="49"/>
  <c r="A17" i="48"/>
  <c r="A17" i="46"/>
  <c r="A17" i="45"/>
  <c r="A28" i="51"/>
  <c r="A27" i="50"/>
  <c r="A27" i="49"/>
  <c r="A27" i="48"/>
  <c r="A27" i="46"/>
  <c r="A27" i="45"/>
  <c r="A27" i="44"/>
  <c r="A27" i="43"/>
  <c r="A26" i="43"/>
  <c r="A18" i="43"/>
  <c r="A150" i="43" s="1"/>
  <c r="A17" i="43"/>
  <c r="C5" i="43"/>
  <c r="D14" i="37" l="1"/>
  <c r="D13" i="37"/>
  <c r="D11" i="37"/>
  <c r="C5" i="51"/>
  <c r="C4" i="51"/>
  <c r="E13" i="41"/>
  <c r="F13" i="41" s="1"/>
  <c r="E22" i="51"/>
  <c r="E21" i="51"/>
  <c r="F91" i="51"/>
  <c r="D91" i="51"/>
  <c r="C91" i="51"/>
  <c r="E71" i="51"/>
  <c r="E70" i="51"/>
  <c r="D63" i="51"/>
  <c r="D57" i="51"/>
  <c r="E57" i="51" s="1"/>
  <c r="E55" i="51"/>
  <c r="D54" i="51"/>
  <c r="C54" i="51"/>
  <c r="D53" i="51"/>
  <c r="C53" i="51"/>
  <c r="D49" i="51"/>
  <c r="E49" i="51" s="1"/>
  <c r="D47" i="51"/>
  <c r="E47" i="51" s="1"/>
  <c r="D46" i="51"/>
  <c r="C46" i="51"/>
  <c r="D42" i="51"/>
  <c r="E41" i="51"/>
  <c r="C120" i="51" s="1"/>
  <c r="D40" i="51"/>
  <c r="D39" i="51"/>
  <c r="D34" i="51"/>
  <c r="E34" i="51" s="1"/>
  <c r="D33" i="51"/>
  <c r="E33" i="51" s="1"/>
  <c r="D28" i="51"/>
  <c r="D27" i="51"/>
  <c r="E27" i="51" s="1"/>
  <c r="D26" i="51"/>
  <c r="E26" i="51" s="1"/>
  <c r="D25" i="51"/>
  <c r="E25" i="51" s="1"/>
  <c r="D24" i="51"/>
  <c r="C24" i="51"/>
  <c r="E23" i="51"/>
  <c r="D23" i="51"/>
  <c r="D19" i="51"/>
  <c r="E19" i="51" s="1"/>
  <c r="E18" i="51"/>
  <c r="E16" i="51"/>
  <c r="D15" i="51"/>
  <c r="D14" i="51"/>
  <c r="D10" i="51"/>
  <c r="E10" i="51" s="1"/>
  <c r="C5" i="50"/>
  <c r="C4" i="50"/>
  <c r="E21" i="50"/>
  <c r="E20" i="50"/>
  <c r="D118" i="50"/>
  <c r="F89" i="50"/>
  <c r="D89" i="50"/>
  <c r="C89" i="50"/>
  <c r="E70" i="50"/>
  <c r="E69" i="50"/>
  <c r="D62" i="50"/>
  <c r="D56" i="50"/>
  <c r="E56" i="50" s="1"/>
  <c r="E54" i="50"/>
  <c r="D53" i="50"/>
  <c r="D52" i="50"/>
  <c r="D48" i="50"/>
  <c r="D46" i="50"/>
  <c r="E46" i="50" s="1"/>
  <c r="D45" i="50"/>
  <c r="C45" i="50"/>
  <c r="D41" i="50"/>
  <c r="E40" i="50"/>
  <c r="C118" i="50" s="1"/>
  <c r="D39" i="50"/>
  <c r="D38" i="50"/>
  <c r="D33" i="50"/>
  <c r="E33" i="50" s="1"/>
  <c r="D32" i="50"/>
  <c r="E32" i="50" s="1"/>
  <c r="D27" i="50"/>
  <c r="D26" i="50"/>
  <c r="E26" i="50" s="1"/>
  <c r="D25" i="50"/>
  <c r="E25" i="50" s="1"/>
  <c r="D24" i="50"/>
  <c r="E24" i="50" s="1"/>
  <c r="D23" i="50"/>
  <c r="C23" i="50"/>
  <c r="D22" i="50"/>
  <c r="E22" i="50" s="1"/>
  <c r="D18" i="50"/>
  <c r="E18" i="50" s="1"/>
  <c r="D17" i="50"/>
  <c r="E17" i="50" s="1"/>
  <c r="E16" i="50"/>
  <c r="D15" i="50"/>
  <c r="D14" i="50"/>
  <c r="D10" i="50"/>
  <c r="E10" i="50" s="1"/>
  <c r="E12" i="41"/>
  <c r="F12" i="41" s="1"/>
  <c r="C5" i="49"/>
  <c r="C4" i="49"/>
  <c r="E11" i="41"/>
  <c r="F11" i="41" s="1"/>
  <c r="E144" i="49"/>
  <c r="F144" i="49" s="1"/>
  <c r="E142" i="49"/>
  <c r="F142" i="49" s="1"/>
  <c r="E21" i="49"/>
  <c r="E20" i="49"/>
  <c r="F89" i="49"/>
  <c r="D89" i="49"/>
  <c r="E70" i="49"/>
  <c r="E69" i="49"/>
  <c r="D62" i="49"/>
  <c r="D56" i="49"/>
  <c r="E56" i="49" s="1"/>
  <c r="E54" i="49"/>
  <c r="D53" i="49"/>
  <c r="D52" i="49"/>
  <c r="D48" i="49"/>
  <c r="D46" i="49"/>
  <c r="E46" i="49" s="1"/>
  <c r="D45" i="49"/>
  <c r="C45" i="49"/>
  <c r="D41" i="49"/>
  <c r="E40" i="49"/>
  <c r="G118" i="49" s="1"/>
  <c r="D39" i="49"/>
  <c r="D38" i="49"/>
  <c r="D33" i="49"/>
  <c r="E33" i="49" s="1"/>
  <c r="D32" i="49"/>
  <c r="E32" i="49" s="1"/>
  <c r="D27" i="49"/>
  <c r="D26" i="49"/>
  <c r="E26" i="49" s="1"/>
  <c r="D25" i="49"/>
  <c r="E25" i="49" s="1"/>
  <c r="D24" i="49"/>
  <c r="E24" i="49" s="1"/>
  <c r="D23" i="49"/>
  <c r="C23" i="49"/>
  <c r="D18" i="49"/>
  <c r="E18" i="49" s="1"/>
  <c r="D17" i="49"/>
  <c r="E17" i="49" s="1"/>
  <c r="E16" i="49"/>
  <c r="D15" i="49"/>
  <c r="D14" i="49"/>
  <c r="D10" i="49"/>
  <c r="E10" i="49" s="1"/>
  <c r="I32" i="38"/>
  <c r="H32" i="38"/>
  <c r="G32" i="38"/>
  <c r="L32" i="38"/>
  <c r="F32" i="38"/>
  <c r="E32" i="38"/>
  <c r="C32" i="38"/>
  <c r="B32" i="38"/>
  <c r="E142" i="48"/>
  <c r="F142" i="48" s="1"/>
  <c r="D117" i="50" l="1"/>
  <c r="F117" i="50"/>
  <c r="G117" i="50"/>
  <c r="E117" i="50"/>
  <c r="C117" i="50"/>
  <c r="F91" i="50"/>
  <c r="F95" i="50" s="1"/>
  <c r="G117" i="49"/>
  <c r="E117" i="49"/>
  <c r="C117" i="49"/>
  <c r="D117" i="49"/>
  <c r="F117" i="49"/>
  <c r="C119" i="51"/>
  <c r="D93" i="51"/>
  <c r="D119" i="51"/>
  <c r="C93" i="51"/>
  <c r="C97" i="51" s="1"/>
  <c r="E119" i="51"/>
  <c r="F119" i="51"/>
  <c r="G119" i="51"/>
  <c r="F93" i="51"/>
  <c r="C42" i="51" s="1"/>
  <c r="E42" i="51" s="1"/>
  <c r="J93" i="51"/>
  <c r="J92" i="51"/>
  <c r="J94" i="51"/>
  <c r="E45" i="38"/>
  <c r="E42" i="38"/>
  <c r="E41" i="38"/>
  <c r="E38" i="38"/>
  <c r="B45" i="38"/>
  <c r="B34" i="38"/>
  <c r="B38" i="38"/>
  <c r="B49" i="38"/>
  <c r="B41" i="38"/>
  <c r="C91" i="50"/>
  <c r="D91" i="50"/>
  <c r="D95" i="50" s="1"/>
  <c r="C14" i="51"/>
  <c r="E14" i="51" s="1"/>
  <c r="E23" i="50"/>
  <c r="C15" i="51"/>
  <c r="E15" i="51" s="1"/>
  <c r="C15" i="50"/>
  <c r="E15" i="50" s="1"/>
  <c r="C95" i="50"/>
  <c r="C91" i="49"/>
  <c r="D91" i="49"/>
  <c r="I44" i="52"/>
  <c r="E24" i="51"/>
  <c r="D120" i="51"/>
  <c r="F120" i="51"/>
  <c r="B150" i="51"/>
  <c r="B159" i="51" s="1"/>
  <c r="I92" i="41" s="1"/>
  <c r="D150" i="51"/>
  <c r="D159" i="51" s="1"/>
  <c r="I94" i="41" s="1"/>
  <c r="C150" i="51"/>
  <c r="C159" i="51" s="1"/>
  <c r="I93" i="41" s="1"/>
  <c r="C39" i="50"/>
  <c r="E39" i="50" s="1"/>
  <c r="C148" i="50"/>
  <c r="C157" i="50" s="1"/>
  <c r="H93" i="41" s="1"/>
  <c r="D148" i="50"/>
  <c r="D157" i="50" s="1"/>
  <c r="H94" i="41" s="1"/>
  <c r="B148" i="50"/>
  <c r="B157" i="50" s="1"/>
  <c r="H92" i="41" s="1"/>
  <c r="C14" i="50"/>
  <c r="E14" i="50" s="1"/>
  <c r="H44" i="52"/>
  <c r="D149" i="49"/>
  <c r="D158" i="49" s="1"/>
  <c r="G94" i="41" s="1"/>
  <c r="C149" i="49"/>
  <c r="C158" i="49" s="1"/>
  <c r="G93" i="41" s="1"/>
  <c r="B149" i="49"/>
  <c r="B158" i="49" s="1"/>
  <c r="G92" i="41" s="1"/>
  <c r="C118" i="49"/>
  <c r="E45" i="49"/>
  <c r="C9" i="51"/>
  <c r="C59" i="51" s="1"/>
  <c r="E23" i="49"/>
  <c r="C89" i="49"/>
  <c r="G36" i="52"/>
  <c r="F145" i="49"/>
  <c r="D22" i="49" s="1"/>
  <c r="E22" i="49" s="1"/>
  <c r="C39" i="49"/>
  <c r="E39" i="49" s="1"/>
  <c r="C38" i="49"/>
  <c r="E38" i="49" s="1"/>
  <c r="E72" i="51"/>
  <c r="E71" i="50"/>
  <c r="E71" i="49"/>
  <c r="E46" i="51"/>
  <c r="E53" i="51"/>
  <c r="F91" i="49"/>
  <c r="F95" i="49" s="1"/>
  <c r="E54" i="51"/>
  <c r="D97" i="51"/>
  <c r="E45" i="50"/>
  <c r="E120" i="51"/>
  <c r="G120" i="51"/>
  <c r="E118" i="50"/>
  <c r="E48" i="50"/>
  <c r="F118" i="50"/>
  <c r="C9" i="50"/>
  <c r="C58" i="50" s="1"/>
  <c r="G118" i="50"/>
  <c r="D118" i="49"/>
  <c r="C48" i="49"/>
  <c r="E48" i="49" s="1"/>
  <c r="E118" i="49"/>
  <c r="C14" i="49"/>
  <c r="E14" i="49" s="1"/>
  <c r="C9" i="49"/>
  <c r="F118" i="49"/>
  <c r="F97" i="51" l="1"/>
  <c r="C38" i="50"/>
  <c r="E38" i="50" s="1"/>
  <c r="G44" i="52"/>
  <c r="C15" i="49"/>
  <c r="E15" i="49" s="1"/>
  <c r="C41" i="50"/>
  <c r="E41" i="50" s="1"/>
  <c r="F117" i="51"/>
  <c r="G117" i="51"/>
  <c r="D117" i="51"/>
  <c r="H46" i="52"/>
  <c r="C117" i="51"/>
  <c r="C58" i="51"/>
  <c r="E58" i="51" s="1"/>
  <c r="E117" i="51"/>
  <c r="I46" i="52"/>
  <c r="C40" i="51"/>
  <c r="E40" i="51" s="1"/>
  <c r="N12" i="41"/>
  <c r="N12" i="52"/>
  <c r="N13" i="41"/>
  <c r="N13" i="52"/>
  <c r="N11" i="41"/>
  <c r="N11" i="52"/>
  <c r="C41" i="49"/>
  <c r="E41" i="49" s="1"/>
  <c r="E42" i="49" s="1"/>
  <c r="G46" i="52"/>
  <c r="F123" i="49"/>
  <c r="G123" i="49"/>
  <c r="D123" i="49"/>
  <c r="C123" i="49"/>
  <c r="E123" i="49"/>
  <c r="G123" i="50"/>
  <c r="F123" i="50"/>
  <c r="D123" i="50"/>
  <c r="C123" i="50"/>
  <c r="E123" i="50"/>
  <c r="C107" i="51"/>
  <c r="F125" i="51"/>
  <c r="C125" i="51"/>
  <c r="E125" i="51"/>
  <c r="G125" i="51"/>
  <c r="D125" i="51"/>
  <c r="C105" i="49"/>
  <c r="D93" i="49"/>
  <c r="C52" i="49" s="1"/>
  <c r="E52" i="49" s="1"/>
  <c r="C93" i="49"/>
  <c r="C95" i="49" s="1"/>
  <c r="C39" i="51"/>
  <c r="E39" i="51" s="1"/>
  <c r="E63" i="51"/>
  <c r="E59" i="51"/>
  <c r="G115" i="50"/>
  <c r="F115" i="50"/>
  <c r="E115" i="50"/>
  <c r="C115" i="50"/>
  <c r="D115" i="50"/>
  <c r="C53" i="50"/>
  <c r="E53" i="50" s="1"/>
  <c r="C57" i="50"/>
  <c r="E57" i="50" s="1"/>
  <c r="C105" i="50"/>
  <c r="G115" i="49"/>
  <c r="F115" i="49"/>
  <c r="E115" i="49"/>
  <c r="C58" i="49"/>
  <c r="D115" i="49"/>
  <c r="C115" i="49"/>
  <c r="E57" i="49"/>
  <c r="D95" i="49" l="1"/>
  <c r="E42" i="50"/>
  <c r="J12" i="52" s="1"/>
  <c r="D110" i="49"/>
  <c r="E43" i="51"/>
  <c r="C103" i="51" s="1"/>
  <c r="C53" i="49"/>
  <c r="E53" i="49" s="1"/>
  <c r="G48" i="52"/>
  <c r="C101" i="49"/>
  <c r="J11" i="52"/>
  <c r="J11" i="41"/>
  <c r="H97" i="51"/>
  <c r="G112" i="51"/>
  <c r="F112" i="51"/>
  <c r="E112" i="51"/>
  <c r="D112" i="51"/>
  <c r="C112" i="51"/>
  <c r="E62" i="50"/>
  <c r="E58" i="50"/>
  <c r="C52" i="50"/>
  <c r="E52" i="50" s="1"/>
  <c r="E110" i="50"/>
  <c r="E62" i="49"/>
  <c r="E58" i="49"/>
  <c r="J12" i="41" l="1"/>
  <c r="C101" i="50"/>
  <c r="J13" i="41"/>
  <c r="E110" i="49"/>
  <c r="H95" i="49"/>
  <c r="F110" i="49"/>
  <c r="C110" i="49"/>
  <c r="G110" i="49"/>
  <c r="J13" i="52"/>
  <c r="D110" i="50"/>
  <c r="H95" i="50"/>
  <c r="F110" i="50"/>
  <c r="G110" i="50"/>
  <c r="C110" i="50"/>
  <c r="E143" i="48" l="1"/>
  <c r="F143" i="48" s="1"/>
  <c r="F144" i="48" s="1"/>
  <c r="D22" i="48" s="1"/>
  <c r="E22" i="48" s="1"/>
  <c r="E10" i="41"/>
  <c r="F10" i="41" s="1"/>
  <c r="C5" i="48"/>
  <c r="C4" i="48"/>
  <c r="E137" i="48"/>
  <c r="A137" i="48"/>
  <c r="A154" i="48" s="1"/>
  <c r="F89" i="48"/>
  <c r="D89" i="48"/>
  <c r="E70" i="48"/>
  <c r="E69" i="48"/>
  <c r="D62" i="48"/>
  <c r="D56" i="48"/>
  <c r="E56" i="48" s="1"/>
  <c r="E54" i="48"/>
  <c r="D53" i="48"/>
  <c r="D52" i="48"/>
  <c r="D48" i="48"/>
  <c r="D46" i="48"/>
  <c r="E46" i="48" s="1"/>
  <c r="D45" i="48"/>
  <c r="C45" i="48"/>
  <c r="D41" i="48"/>
  <c r="E40" i="48"/>
  <c r="C118" i="48" s="1"/>
  <c r="D39" i="48"/>
  <c r="D38" i="48"/>
  <c r="D33" i="48"/>
  <c r="E33" i="48" s="1"/>
  <c r="D32" i="48"/>
  <c r="E32" i="48" s="1"/>
  <c r="D27" i="48"/>
  <c r="D26" i="48"/>
  <c r="E26" i="48" s="1"/>
  <c r="D25" i="48"/>
  <c r="E25" i="48" s="1"/>
  <c r="D24" i="48"/>
  <c r="E24" i="48" s="1"/>
  <c r="D23" i="48"/>
  <c r="C23" i="48"/>
  <c r="D18" i="48"/>
  <c r="E18" i="48" s="1"/>
  <c r="D17" i="48"/>
  <c r="E17" i="48" s="1"/>
  <c r="E16" i="48"/>
  <c r="D15" i="48"/>
  <c r="D14" i="48"/>
  <c r="D10" i="48"/>
  <c r="E10" i="48" s="1"/>
  <c r="C117" i="48" l="1"/>
  <c r="D117" i="48"/>
  <c r="F117" i="48"/>
  <c r="G117" i="48"/>
  <c r="E117" i="48"/>
  <c r="J91" i="48"/>
  <c r="D91" i="48"/>
  <c r="C38" i="48" s="1"/>
  <c r="E38" i="48" s="1"/>
  <c r="C91" i="48"/>
  <c r="D148" i="48"/>
  <c r="D157" i="48" s="1"/>
  <c r="F94" i="41" s="1"/>
  <c r="C148" i="48"/>
  <c r="C157" i="48" s="1"/>
  <c r="F93" i="41" s="1"/>
  <c r="B148" i="48"/>
  <c r="B157" i="48" s="1"/>
  <c r="F92" i="41" s="1"/>
  <c r="E23" i="48"/>
  <c r="C89" i="48"/>
  <c r="C95" i="48" s="1"/>
  <c r="F36" i="52"/>
  <c r="D32" i="38"/>
  <c r="D118" i="48"/>
  <c r="F91" i="48"/>
  <c r="C41" i="48" s="1"/>
  <c r="E41" i="48" s="1"/>
  <c r="F137" i="48"/>
  <c r="E20" i="48"/>
  <c r="E45" i="48"/>
  <c r="E71" i="48"/>
  <c r="E48" i="48"/>
  <c r="C14" i="48"/>
  <c r="E14" i="48" s="1"/>
  <c r="C9" i="48"/>
  <c r="E118" i="48"/>
  <c r="F118" i="48"/>
  <c r="G118" i="48"/>
  <c r="F95" i="48" l="1"/>
  <c r="D95" i="48"/>
  <c r="F138" i="48"/>
  <c r="E138" i="48" s="1"/>
  <c r="D21" i="48" s="1"/>
  <c r="E21" i="48" s="1"/>
  <c r="C15" i="48"/>
  <c r="E15" i="48" s="1"/>
  <c r="F44" i="52"/>
  <c r="F46" i="52"/>
  <c r="N10" i="41"/>
  <c r="N10" i="52"/>
  <c r="G123" i="48"/>
  <c r="E123" i="48"/>
  <c r="D115" i="48"/>
  <c r="C58" i="48"/>
  <c r="J32" i="38"/>
  <c r="C39" i="48"/>
  <c r="E39" i="48" s="1"/>
  <c r="E42" i="48" s="1"/>
  <c r="C123" i="48"/>
  <c r="C105" i="48"/>
  <c r="D123" i="48"/>
  <c r="F123" i="48"/>
  <c r="C57" i="48"/>
  <c r="E57" i="48" s="1"/>
  <c r="C115" i="48"/>
  <c r="G115" i="48"/>
  <c r="F115" i="48"/>
  <c r="E115" i="48"/>
  <c r="E16" i="46"/>
  <c r="C5" i="46"/>
  <c r="C4" i="46"/>
  <c r="C89" i="46"/>
  <c r="E9" i="41"/>
  <c r="F9" i="41" s="1"/>
  <c r="F89" i="46"/>
  <c r="E70" i="46"/>
  <c r="E69" i="46"/>
  <c r="D62" i="46"/>
  <c r="D56" i="46"/>
  <c r="E56" i="46" s="1"/>
  <c r="E54" i="46"/>
  <c r="D53" i="46"/>
  <c r="D52" i="46"/>
  <c r="D48" i="46"/>
  <c r="D46" i="46"/>
  <c r="E46" i="46" s="1"/>
  <c r="D45" i="46"/>
  <c r="C45" i="46"/>
  <c r="D41" i="46"/>
  <c r="E40" i="46"/>
  <c r="C118" i="46" s="1"/>
  <c r="D39" i="46"/>
  <c r="D38" i="46"/>
  <c r="D33" i="46"/>
  <c r="E33" i="46" s="1"/>
  <c r="D32" i="46"/>
  <c r="E32" i="46" s="1"/>
  <c r="D27" i="46"/>
  <c r="D26" i="46"/>
  <c r="E26" i="46" s="1"/>
  <c r="D25" i="46"/>
  <c r="E25" i="46" s="1"/>
  <c r="D24" i="46"/>
  <c r="E24" i="46" s="1"/>
  <c r="D23" i="46"/>
  <c r="C23" i="46"/>
  <c r="D22" i="46"/>
  <c r="E22" i="46" s="1"/>
  <c r="D18" i="46"/>
  <c r="E18" i="46" s="1"/>
  <c r="D17" i="46"/>
  <c r="E17" i="46" s="1"/>
  <c r="D15" i="46"/>
  <c r="D14" i="46"/>
  <c r="D10" i="46"/>
  <c r="E10" i="46" s="1"/>
  <c r="E117" i="46" l="1"/>
  <c r="C117" i="46"/>
  <c r="D117" i="46"/>
  <c r="F117" i="46"/>
  <c r="G117" i="46"/>
  <c r="F91" i="46"/>
  <c r="C91" i="46"/>
  <c r="D91" i="46"/>
  <c r="C38" i="46" s="1"/>
  <c r="E38" i="46" s="1"/>
  <c r="C15" i="46"/>
  <c r="E15" i="46" s="1"/>
  <c r="D89" i="46"/>
  <c r="C14" i="46" s="1"/>
  <c r="E14" i="46" s="1"/>
  <c r="E36" i="52"/>
  <c r="D118" i="46"/>
  <c r="D148" i="46"/>
  <c r="D157" i="46" s="1"/>
  <c r="E94" i="41" s="1"/>
  <c r="C148" i="46"/>
  <c r="C157" i="46" s="1"/>
  <c r="E93" i="41" s="1"/>
  <c r="B148" i="46"/>
  <c r="B157" i="46" s="1"/>
  <c r="E92" i="41" s="1"/>
  <c r="E45" i="46"/>
  <c r="E23" i="46"/>
  <c r="C101" i="48"/>
  <c r="J10" i="52"/>
  <c r="J10" i="41"/>
  <c r="E71" i="46"/>
  <c r="C48" i="46"/>
  <c r="E48" i="46" s="1"/>
  <c r="E20" i="46"/>
  <c r="E21" i="46"/>
  <c r="C52" i="48"/>
  <c r="E52" i="48" s="1"/>
  <c r="E62" i="48"/>
  <c r="E58" i="48"/>
  <c r="C53" i="48"/>
  <c r="E53" i="48" s="1"/>
  <c r="C9" i="46"/>
  <c r="C41" i="46"/>
  <c r="E41" i="46" s="1"/>
  <c r="E118" i="46"/>
  <c r="F118" i="46"/>
  <c r="G118" i="46"/>
  <c r="C93" i="46" l="1"/>
  <c r="D93" i="46"/>
  <c r="C58" i="46"/>
  <c r="E58" i="46" s="1"/>
  <c r="E44" i="52"/>
  <c r="N9" i="41"/>
  <c r="N9" i="52"/>
  <c r="C39" i="46"/>
  <c r="E39" i="46" s="1"/>
  <c r="E42" i="46" s="1"/>
  <c r="E46" i="52"/>
  <c r="C53" i="46"/>
  <c r="E53" i="46" s="1"/>
  <c r="D123" i="46"/>
  <c r="C123" i="46"/>
  <c r="E123" i="46"/>
  <c r="F123" i="46"/>
  <c r="G123" i="46"/>
  <c r="E115" i="46"/>
  <c r="C115" i="46"/>
  <c r="G115" i="46"/>
  <c r="D115" i="46"/>
  <c r="F115" i="46"/>
  <c r="C57" i="46"/>
  <c r="E57" i="46" s="1"/>
  <c r="F95" i="46"/>
  <c r="E62" i="46"/>
  <c r="D110" i="48"/>
  <c r="C110" i="48"/>
  <c r="H95" i="48"/>
  <c r="E110" i="48"/>
  <c r="G110" i="48"/>
  <c r="F110" i="48"/>
  <c r="C52" i="46"/>
  <c r="E52" i="46" s="1"/>
  <c r="C105" i="46"/>
  <c r="C95" i="46"/>
  <c r="E48" i="52" l="1"/>
  <c r="J9" i="52"/>
  <c r="J9" i="41"/>
  <c r="D95" i="46"/>
  <c r="H95" i="46" s="1"/>
  <c r="C101" i="46"/>
  <c r="C110" i="46" l="1"/>
  <c r="D110" i="46"/>
  <c r="G110" i="46"/>
  <c r="E110" i="46"/>
  <c r="F110" i="46"/>
  <c r="D89" i="45" l="1"/>
  <c r="E8" i="41"/>
  <c r="F8" i="41" s="1"/>
  <c r="C4" i="45"/>
  <c r="E21" i="45"/>
  <c r="E20" i="45"/>
  <c r="F89" i="45"/>
  <c r="C89" i="45"/>
  <c r="E70" i="45"/>
  <c r="E69" i="45"/>
  <c r="D62" i="45"/>
  <c r="D56" i="45"/>
  <c r="E56" i="45" s="1"/>
  <c r="E54" i="45"/>
  <c r="D53" i="45"/>
  <c r="C53" i="45"/>
  <c r="D52" i="45"/>
  <c r="C52" i="45"/>
  <c r="D48" i="45"/>
  <c r="E48" i="45" s="1"/>
  <c r="D46" i="45"/>
  <c r="E46" i="45" s="1"/>
  <c r="D45" i="45"/>
  <c r="C45" i="45"/>
  <c r="D41" i="45"/>
  <c r="E40" i="45"/>
  <c r="G118" i="45" s="1"/>
  <c r="D39" i="45"/>
  <c r="D38" i="45"/>
  <c r="D33" i="45"/>
  <c r="E33" i="45" s="1"/>
  <c r="D32" i="45"/>
  <c r="E32" i="45" s="1"/>
  <c r="D27" i="45"/>
  <c r="D26" i="45"/>
  <c r="E26" i="45" s="1"/>
  <c r="D25" i="45"/>
  <c r="E25" i="45" s="1"/>
  <c r="D24" i="45"/>
  <c r="E24" i="45" s="1"/>
  <c r="D23" i="45"/>
  <c r="C23" i="45"/>
  <c r="D22" i="45"/>
  <c r="E22" i="45" s="1"/>
  <c r="D18" i="45"/>
  <c r="E18" i="45" s="1"/>
  <c r="D17" i="45"/>
  <c r="E17" i="45" s="1"/>
  <c r="E16" i="45"/>
  <c r="D15" i="45"/>
  <c r="D14" i="45"/>
  <c r="D10" i="45"/>
  <c r="E10" i="45" s="1"/>
  <c r="F117" i="45" l="1"/>
  <c r="G117" i="45"/>
  <c r="E117" i="45"/>
  <c r="C91" i="45"/>
  <c r="C95" i="45" s="1"/>
  <c r="D117" i="45"/>
  <c r="C117" i="45"/>
  <c r="C14" i="45"/>
  <c r="D91" i="45"/>
  <c r="D95" i="45" s="1"/>
  <c r="E53" i="45"/>
  <c r="E45" i="45"/>
  <c r="C15" i="45"/>
  <c r="E15" i="45" s="1"/>
  <c r="D44" i="52"/>
  <c r="E23" i="45"/>
  <c r="D36" i="52"/>
  <c r="D148" i="45"/>
  <c r="D157" i="45" s="1"/>
  <c r="D94" i="41" s="1"/>
  <c r="B148" i="45"/>
  <c r="B157" i="45" s="1"/>
  <c r="D92" i="41" s="1"/>
  <c r="C148" i="45"/>
  <c r="C157" i="45" s="1"/>
  <c r="D93" i="41" s="1"/>
  <c r="E52" i="45"/>
  <c r="C9" i="45"/>
  <c r="G115" i="45" s="1"/>
  <c r="E14" i="45"/>
  <c r="E71" i="45"/>
  <c r="C118" i="45"/>
  <c r="D118" i="45"/>
  <c r="E118" i="45"/>
  <c r="F118" i="45"/>
  <c r="F91" i="45" l="1"/>
  <c r="F95" i="45" s="1"/>
  <c r="C57" i="45"/>
  <c r="E57" i="45" s="1"/>
  <c r="C38" i="45"/>
  <c r="E38" i="45" s="1"/>
  <c r="C58" i="45"/>
  <c r="F115" i="45"/>
  <c r="E115" i="45"/>
  <c r="C115" i="45"/>
  <c r="C39" i="45"/>
  <c r="E39" i="45" s="1"/>
  <c r="D46" i="52"/>
  <c r="D115" i="45"/>
  <c r="N8" i="41"/>
  <c r="N8" i="52"/>
  <c r="E58" i="45"/>
  <c r="E62" i="45"/>
  <c r="G123" i="45"/>
  <c r="F123" i="45"/>
  <c r="C105" i="45"/>
  <c r="E123" i="45"/>
  <c r="D123" i="45"/>
  <c r="C123" i="45"/>
  <c r="C41" i="45" l="1"/>
  <c r="E41" i="45" s="1"/>
  <c r="E42" i="45" s="1"/>
  <c r="J8" i="41" s="1"/>
  <c r="C110" i="45"/>
  <c r="D110" i="45"/>
  <c r="E110" i="45"/>
  <c r="F110" i="45"/>
  <c r="H95" i="45"/>
  <c r="G110" i="45"/>
  <c r="J8" i="52" l="1"/>
  <c r="C101" i="45"/>
  <c r="E7" i="41"/>
  <c r="F7" i="41" s="1"/>
  <c r="C4" i="44"/>
  <c r="F89" i="44"/>
  <c r="D89" i="44"/>
  <c r="C89" i="44"/>
  <c r="E70" i="44"/>
  <c r="D62" i="44"/>
  <c r="D56" i="44"/>
  <c r="E56" i="44" s="1"/>
  <c r="E54" i="44"/>
  <c r="D53" i="44"/>
  <c r="D52" i="44"/>
  <c r="D48" i="44"/>
  <c r="D46" i="44"/>
  <c r="E46" i="44" s="1"/>
  <c r="D45" i="44"/>
  <c r="C45" i="44"/>
  <c r="D41" i="44"/>
  <c r="E40" i="44"/>
  <c r="C118" i="44" s="1"/>
  <c r="D39" i="44"/>
  <c r="D38" i="44"/>
  <c r="D33" i="44"/>
  <c r="E33" i="44" s="1"/>
  <c r="D32" i="44"/>
  <c r="E32" i="44" s="1"/>
  <c r="D27" i="44"/>
  <c r="D26" i="44"/>
  <c r="E26" i="44" s="1"/>
  <c r="D25" i="44"/>
  <c r="E25" i="44" s="1"/>
  <c r="D24" i="44"/>
  <c r="E24" i="44" s="1"/>
  <c r="D23" i="44"/>
  <c r="C23" i="44"/>
  <c r="D22" i="44"/>
  <c r="E22" i="44" s="1"/>
  <c r="D18" i="44"/>
  <c r="E18" i="44" s="1"/>
  <c r="D17" i="44"/>
  <c r="E17" i="44" s="1"/>
  <c r="E16" i="44"/>
  <c r="D15" i="44"/>
  <c r="D14" i="44"/>
  <c r="D10" i="44"/>
  <c r="E10" i="44" s="1"/>
  <c r="M33" i="40"/>
  <c r="H33" i="40"/>
  <c r="I33" i="40"/>
  <c r="G33" i="40"/>
  <c r="F33" i="40"/>
  <c r="E33" i="40"/>
  <c r="D33" i="40"/>
  <c r="C33" i="40"/>
  <c r="B33" i="40"/>
  <c r="E6" i="41"/>
  <c r="D62" i="43"/>
  <c r="K21" i="31"/>
  <c r="K19" i="31"/>
  <c r="K15" i="31"/>
  <c r="K16" i="31" s="1"/>
  <c r="K17" i="31" s="1"/>
  <c r="K29" i="31" s="1"/>
  <c r="K30" i="31" s="1"/>
  <c r="K13" i="31"/>
  <c r="D56" i="43"/>
  <c r="E56" i="43" s="1"/>
  <c r="D53" i="43"/>
  <c r="D52" i="43"/>
  <c r="D48" i="43"/>
  <c r="D46" i="43"/>
  <c r="E46" i="43" s="1"/>
  <c r="D45" i="43"/>
  <c r="D41" i="43"/>
  <c r="D39" i="43"/>
  <c r="D38" i="43"/>
  <c r="D10" i="43"/>
  <c r="E10" i="43" s="1"/>
  <c r="D33" i="43"/>
  <c r="E33" i="43" s="1"/>
  <c r="D32" i="43"/>
  <c r="E32" i="43" s="1"/>
  <c r="D15" i="31"/>
  <c r="E15" i="31"/>
  <c r="F15" i="31"/>
  <c r="H15" i="31"/>
  <c r="J15" i="31"/>
  <c r="C15" i="31"/>
  <c r="D27" i="43"/>
  <c r="D26" i="43"/>
  <c r="E26" i="43" s="1"/>
  <c r="D25" i="43"/>
  <c r="E25" i="43" s="1"/>
  <c r="D24" i="43"/>
  <c r="E24" i="43" s="1"/>
  <c r="D23" i="43"/>
  <c r="D18" i="43"/>
  <c r="E18" i="43" s="1"/>
  <c r="D17" i="43"/>
  <c r="E17" i="43" s="1"/>
  <c r="D15" i="43"/>
  <c r="D14" i="43"/>
  <c r="C4" i="43"/>
  <c r="F89" i="43"/>
  <c r="D89" i="43"/>
  <c r="C89" i="43"/>
  <c r="E70" i="43"/>
  <c r="E54" i="43"/>
  <c r="C45" i="43"/>
  <c r="E40" i="43"/>
  <c r="C23" i="43"/>
  <c r="D22" i="43"/>
  <c r="E22" i="43" s="1"/>
  <c r="E16" i="43"/>
  <c r="H135" i="44" l="1"/>
  <c r="C117" i="44"/>
  <c r="D117" i="44"/>
  <c r="F117" i="44"/>
  <c r="H134" i="44"/>
  <c r="G117" i="44"/>
  <c r="E117" i="44"/>
  <c r="G117" i="43"/>
  <c r="E117" i="43"/>
  <c r="D117" i="43"/>
  <c r="C117" i="43"/>
  <c r="F117" i="43"/>
  <c r="E23" i="44"/>
  <c r="C15" i="43"/>
  <c r="E15" i="43" s="1"/>
  <c r="C15" i="44"/>
  <c r="E15" i="44" s="1"/>
  <c r="C95" i="44"/>
  <c r="C91" i="44"/>
  <c r="D91" i="44"/>
  <c r="C91" i="43"/>
  <c r="D91" i="43"/>
  <c r="C38" i="43" s="1"/>
  <c r="E38" i="43" s="1"/>
  <c r="F91" i="43"/>
  <c r="F95" i="43" s="1"/>
  <c r="C148" i="44"/>
  <c r="C157" i="44" s="1"/>
  <c r="C93" i="41" s="1"/>
  <c r="D148" i="44"/>
  <c r="D157" i="44" s="1"/>
  <c r="C94" i="41" s="1"/>
  <c r="B148" i="44"/>
  <c r="B157" i="44" s="1"/>
  <c r="C92" i="41" s="1"/>
  <c r="C14" i="44"/>
  <c r="E14" i="44" s="1"/>
  <c r="C44" i="52"/>
  <c r="C14" i="43"/>
  <c r="E14" i="43" s="1"/>
  <c r="B44" i="52"/>
  <c r="D148" i="43"/>
  <c r="D157" i="43" s="1"/>
  <c r="B94" i="41" s="1"/>
  <c r="C148" i="43"/>
  <c r="C157" i="43" s="1"/>
  <c r="B93" i="41" s="1"/>
  <c r="B148" i="43"/>
  <c r="B157" i="43" s="1"/>
  <c r="B92" i="41" s="1"/>
  <c r="D48" i="51"/>
  <c r="E48" i="51" s="1"/>
  <c r="D32" i="51"/>
  <c r="E32" i="51" s="1"/>
  <c r="E21" i="43"/>
  <c r="E20" i="44"/>
  <c r="E20" i="43"/>
  <c r="E21" i="44"/>
  <c r="D47" i="50"/>
  <c r="E47" i="50" s="1"/>
  <c r="D31" i="49"/>
  <c r="E31" i="49" s="1"/>
  <c r="D31" i="50"/>
  <c r="E31" i="50" s="1"/>
  <c r="D47" i="49"/>
  <c r="E47" i="49" s="1"/>
  <c r="D31" i="48"/>
  <c r="E31" i="48" s="1"/>
  <c r="D47" i="48"/>
  <c r="E47" i="48" s="1"/>
  <c r="D31" i="46"/>
  <c r="E31" i="46" s="1"/>
  <c r="D47" i="46"/>
  <c r="E47" i="46" s="1"/>
  <c r="D47" i="45"/>
  <c r="E47" i="45" s="1"/>
  <c r="D31" i="45"/>
  <c r="E31" i="45" s="1"/>
  <c r="D31" i="44"/>
  <c r="E31" i="44" s="1"/>
  <c r="D47" i="44"/>
  <c r="E47" i="44" s="1"/>
  <c r="F91" i="44"/>
  <c r="C41" i="44" s="1"/>
  <c r="E41" i="44" s="1"/>
  <c r="E45" i="44"/>
  <c r="D118" i="44"/>
  <c r="E48" i="44"/>
  <c r="E118" i="44"/>
  <c r="F118" i="44"/>
  <c r="C9" i="44"/>
  <c r="G118" i="44"/>
  <c r="C9" i="43"/>
  <c r="D31" i="43"/>
  <c r="E31" i="43" s="1"/>
  <c r="D47" i="43"/>
  <c r="E47" i="43" s="1"/>
  <c r="E45" i="43"/>
  <c r="E23" i="43"/>
  <c r="G118" i="43"/>
  <c r="F118" i="43"/>
  <c r="D118" i="43"/>
  <c r="E118" i="43"/>
  <c r="C118" i="43"/>
  <c r="C48" i="43"/>
  <c r="E48" i="43" s="1"/>
  <c r="I135" i="44" l="1"/>
  <c r="F95" i="44"/>
  <c r="F115" i="43"/>
  <c r="D93" i="43"/>
  <c r="D95" i="43" s="1"/>
  <c r="C93" i="43"/>
  <c r="C95" i="43" s="1"/>
  <c r="C41" i="43"/>
  <c r="E41" i="43" s="1"/>
  <c r="C46" i="52"/>
  <c r="J33" i="40"/>
  <c r="B46" i="52"/>
  <c r="C39" i="43"/>
  <c r="E39" i="43" s="1"/>
  <c r="G121" i="51"/>
  <c r="F121" i="51"/>
  <c r="C121" i="51"/>
  <c r="E121" i="51"/>
  <c r="E50" i="51"/>
  <c r="D121" i="51"/>
  <c r="E49" i="48"/>
  <c r="F119" i="48"/>
  <c r="G119" i="48"/>
  <c r="D119" i="48"/>
  <c r="C119" i="48"/>
  <c r="E119" i="48"/>
  <c r="D119" i="49"/>
  <c r="G119" i="49"/>
  <c r="E119" i="49"/>
  <c r="C119" i="49"/>
  <c r="E49" i="49"/>
  <c r="F119" i="49"/>
  <c r="D119" i="45"/>
  <c r="G119" i="45"/>
  <c r="F119" i="45"/>
  <c r="E49" i="45"/>
  <c r="C119" i="45"/>
  <c r="E119" i="45"/>
  <c r="G119" i="43"/>
  <c r="C119" i="43"/>
  <c r="F119" i="43"/>
  <c r="E119" i="43"/>
  <c r="D119" i="43"/>
  <c r="E119" i="46"/>
  <c r="G119" i="46"/>
  <c r="C119" i="46"/>
  <c r="D119" i="46"/>
  <c r="E49" i="46"/>
  <c r="F119" i="46"/>
  <c r="D119" i="50"/>
  <c r="F119" i="50"/>
  <c r="G119" i="50"/>
  <c r="E49" i="50"/>
  <c r="E119" i="50"/>
  <c r="C119" i="50"/>
  <c r="C57" i="43"/>
  <c r="E57" i="43" s="1"/>
  <c r="C115" i="43"/>
  <c r="D115" i="43"/>
  <c r="G115" i="43"/>
  <c r="E115" i="43"/>
  <c r="C58" i="43"/>
  <c r="E62" i="43" s="1"/>
  <c r="C38" i="44"/>
  <c r="E38" i="44" s="1"/>
  <c r="C39" i="44"/>
  <c r="E39" i="44" s="1"/>
  <c r="F119" i="44"/>
  <c r="E119" i="44"/>
  <c r="E49" i="44"/>
  <c r="D119" i="44"/>
  <c r="G119" i="44"/>
  <c r="C119" i="44"/>
  <c r="G115" i="44"/>
  <c r="C115" i="44"/>
  <c r="F115" i="44"/>
  <c r="C57" i="44"/>
  <c r="E57" i="44" s="1"/>
  <c r="E115" i="44"/>
  <c r="C58" i="44"/>
  <c r="D115" i="44"/>
  <c r="E49" i="43"/>
  <c r="E42" i="43" l="1"/>
  <c r="C101" i="43" s="1"/>
  <c r="C104" i="51"/>
  <c r="K13" i="52"/>
  <c r="K13" i="41"/>
  <c r="C102" i="50"/>
  <c r="K12" i="52"/>
  <c r="K12" i="41"/>
  <c r="K7" i="52"/>
  <c r="K7" i="41"/>
  <c r="K6" i="52"/>
  <c r="K6" i="41"/>
  <c r="B48" i="52"/>
  <c r="K9" i="52"/>
  <c r="K9" i="41"/>
  <c r="K8" i="52"/>
  <c r="K8" i="41"/>
  <c r="C102" i="49"/>
  <c r="K11" i="52"/>
  <c r="K11" i="41"/>
  <c r="K10" i="52"/>
  <c r="K10" i="41"/>
  <c r="C102" i="48"/>
  <c r="C102" i="46"/>
  <c r="C102" i="43"/>
  <c r="C102" i="45"/>
  <c r="C53" i="43"/>
  <c r="E53" i="43" s="1"/>
  <c r="K33" i="40"/>
  <c r="E58" i="43"/>
  <c r="E42" i="44"/>
  <c r="C102" i="44"/>
  <c r="E62" i="44"/>
  <c r="E58" i="44"/>
  <c r="C52" i="44"/>
  <c r="E52" i="44" s="1"/>
  <c r="D95" i="44"/>
  <c r="C53" i="44"/>
  <c r="E53" i="44" s="1"/>
  <c r="C52" i="43"/>
  <c r="E52" i="43" s="1"/>
  <c r="J6" i="41" l="1"/>
  <c r="J6" i="52"/>
  <c r="K17" i="41"/>
  <c r="J7" i="52"/>
  <c r="J7" i="41"/>
  <c r="K17" i="52"/>
  <c r="K16" i="52"/>
  <c r="D110" i="43"/>
  <c r="C101" i="44"/>
  <c r="D110" i="44"/>
  <c r="C110" i="44"/>
  <c r="H95" i="44"/>
  <c r="G110" i="44"/>
  <c r="F110" i="44"/>
  <c r="E110" i="44"/>
  <c r="F110" i="43"/>
  <c r="E110" i="43"/>
  <c r="G110" i="43"/>
  <c r="H95" i="43"/>
  <c r="C110" i="43"/>
  <c r="J16" i="52" l="1"/>
  <c r="J17" i="52"/>
  <c r="B16" i="41"/>
  <c r="E69" i="44" s="1"/>
  <c r="F6" i="41"/>
  <c r="I41" i="38"/>
  <c r="J48" i="38"/>
  <c r="L38" i="38"/>
  <c r="M34" i="38"/>
  <c r="A35" i="38"/>
  <c r="A36" i="38" s="1"/>
  <c r="A37" i="38" s="1"/>
  <c r="A38" i="38" s="1"/>
  <c r="A39" i="38" s="1"/>
  <c r="A40" i="38" s="1"/>
  <c r="A41" i="38" s="1"/>
  <c r="A42" i="38" s="1"/>
  <c r="A43" i="38" s="1"/>
  <c r="A44" i="38" s="1"/>
  <c r="A45" i="38" s="1"/>
  <c r="A46" i="38" s="1"/>
  <c r="A47" i="38" s="1"/>
  <c r="A48" i="38" s="1"/>
  <c r="A49" i="38" s="1"/>
  <c r="A50" i="38" s="1"/>
  <c r="A51" i="38" s="1"/>
  <c r="A52" i="38" s="1"/>
  <c r="A53" i="38" s="1"/>
  <c r="A54" i="38" s="1"/>
  <c r="A55" i="38" s="1"/>
  <c r="A56" i="38" s="1"/>
  <c r="A57" i="38" s="1"/>
  <c r="A58" i="38" s="1"/>
  <c r="A59" i="38" s="1"/>
  <c r="A60" i="38" s="1"/>
  <c r="A61" i="38" s="1"/>
  <c r="A62" i="38" s="1"/>
  <c r="A63" i="38" s="1"/>
  <c r="A64" i="38" s="1"/>
  <c r="A65" i="38" s="1"/>
  <c r="A66" i="38" s="1"/>
  <c r="A67" i="38" s="1"/>
  <c r="M35" i="38"/>
  <c r="M36" i="38"/>
  <c r="M37" i="38"/>
  <c r="L39" i="38"/>
  <c r="M39" i="38" s="1"/>
  <c r="L40" i="38"/>
  <c r="M40" i="38" s="1"/>
  <c r="L42" i="38"/>
  <c r="M42" i="38" s="1"/>
  <c r="I43" i="38"/>
  <c r="L43" i="38"/>
  <c r="L45" i="38"/>
  <c r="L46" i="38"/>
  <c r="I47" i="38"/>
  <c r="J47" i="38"/>
  <c r="L47" i="38"/>
  <c r="L48" i="38"/>
  <c r="J49" i="38"/>
  <c r="L50" i="38"/>
  <c r="J51" i="38"/>
  <c r="L51" i="38"/>
  <c r="L52" i="38"/>
  <c r="J53" i="38"/>
  <c r="L53" i="38"/>
  <c r="I54" i="38"/>
  <c r="L55" i="38"/>
  <c r="L56" i="38"/>
  <c r="L57" i="38"/>
  <c r="L58" i="38"/>
  <c r="L59" i="38"/>
  <c r="L60" i="38"/>
  <c r="L61" i="38"/>
  <c r="L63" i="38"/>
  <c r="L64" i="38"/>
  <c r="L65" i="38"/>
  <c r="L66" i="38"/>
  <c r="L67" i="38"/>
  <c r="M67" i="38"/>
  <c r="B68" i="38"/>
  <c r="C68" i="38"/>
  <c r="E68" i="38"/>
  <c r="F68" i="38"/>
  <c r="G68" i="38"/>
  <c r="H68" i="38"/>
  <c r="E12" i="37"/>
  <c r="E20" i="37"/>
  <c r="E23" i="37"/>
  <c r="E24" i="37"/>
  <c r="E26" i="37"/>
  <c r="N14" i="41" s="1"/>
  <c r="C41" i="37"/>
  <c r="C11" i="37" s="1"/>
  <c r="E11" i="37" s="1"/>
  <c r="D41" i="37"/>
  <c r="E41" i="37"/>
  <c r="F41" i="37"/>
  <c r="H13" i="31"/>
  <c r="H24" i="31" s="1"/>
  <c r="C13" i="31"/>
  <c r="C24" i="31" s="1"/>
  <c r="D13" i="31"/>
  <c r="D24" i="31" s="1"/>
  <c r="E13" i="31"/>
  <c r="E24" i="31"/>
  <c r="F13" i="31"/>
  <c r="J13" i="31"/>
  <c r="C16" i="31"/>
  <c r="C17" i="31" s="1"/>
  <c r="C25" i="31" s="1"/>
  <c r="C27" i="31" s="1"/>
  <c r="C29" i="31" s="1"/>
  <c r="C30" i="31" s="1"/>
  <c r="D16" i="31"/>
  <c r="D17" i="31" s="1"/>
  <c r="D25" i="31" s="1"/>
  <c r="E16" i="31"/>
  <c r="E17" i="31" s="1"/>
  <c r="E25" i="31" s="1"/>
  <c r="F16" i="31"/>
  <c r="F17" i="31" s="1"/>
  <c r="F25" i="31" s="1"/>
  <c r="H16" i="31"/>
  <c r="J16" i="31"/>
  <c r="J17" i="31" s="1"/>
  <c r="J29" i="31" s="1"/>
  <c r="J30" i="31" s="1"/>
  <c r="C21" i="31"/>
  <c r="C26" i="31" s="1"/>
  <c r="D21" i="31"/>
  <c r="D26" i="31"/>
  <c r="E21" i="31"/>
  <c r="E26" i="31" s="1"/>
  <c r="F21" i="31"/>
  <c r="F26" i="31" s="1"/>
  <c r="H21" i="31"/>
  <c r="H26" i="31" s="1"/>
  <c r="J21" i="31"/>
  <c r="F24" i="31"/>
  <c r="C35" i="40"/>
  <c r="E39" i="40"/>
  <c r="H41" i="40"/>
  <c r="I45" i="40"/>
  <c r="M44" i="40"/>
  <c r="E36" i="40"/>
  <c r="A37" i="40"/>
  <c r="A38" i="40"/>
  <c r="A39" i="40"/>
  <c r="A40" i="40" s="1"/>
  <c r="A41" i="40" s="1"/>
  <c r="A42" i="40" s="1"/>
  <c r="N37" i="40"/>
  <c r="A43" i="40"/>
  <c r="A44" i="40" s="1"/>
  <c r="A45" i="40" s="1"/>
  <c r="A46" i="40"/>
  <c r="A47" i="40" s="1"/>
  <c r="A48" i="40" s="1"/>
  <c r="A49" i="40" s="1"/>
  <c r="A50" i="40" s="1"/>
  <c r="A51" i="40" s="1"/>
  <c r="A52" i="40" s="1"/>
  <c r="A53" i="40" s="1"/>
  <c r="A54" i="40" s="1"/>
  <c r="A55" i="40" s="1"/>
  <c r="A56" i="40" s="1"/>
  <c r="A57" i="40" s="1"/>
  <c r="A58" i="40" s="1"/>
  <c r="A59" i="40" s="1"/>
  <c r="A60" i="40" s="1"/>
  <c r="A61" i="40" s="1"/>
  <c r="A62" i="40" s="1"/>
  <c r="A63" i="40" s="1"/>
  <c r="A64" i="40" s="1"/>
  <c r="A65" i="40" s="1"/>
  <c r="A66" i="40" s="1"/>
  <c r="A67" i="40" s="1"/>
  <c r="A68" i="40" s="1"/>
  <c r="A69" i="40" s="1"/>
  <c r="A70" i="40" s="1"/>
  <c r="E44" i="40"/>
  <c r="F55" i="40"/>
  <c r="B72" i="40"/>
  <c r="D72" i="40"/>
  <c r="G72" i="40"/>
  <c r="F57" i="40"/>
  <c r="M54" i="40"/>
  <c r="F53" i="40"/>
  <c r="F51" i="40"/>
  <c r="F45" i="40"/>
  <c r="F41" i="40"/>
  <c r="J66" i="38"/>
  <c r="J65" i="38"/>
  <c r="J64" i="38"/>
  <c r="J63" i="38"/>
  <c r="J62" i="38"/>
  <c r="J61" i="38"/>
  <c r="J60" i="38"/>
  <c r="M60" i="38" s="1"/>
  <c r="J59" i="38"/>
  <c r="M59" i="38" s="1"/>
  <c r="J58" i="38"/>
  <c r="M58" i="38" s="1"/>
  <c r="J57" i="38"/>
  <c r="J56" i="38"/>
  <c r="J55" i="38"/>
  <c r="J54" i="38"/>
  <c r="J52" i="38"/>
  <c r="J50" i="38"/>
  <c r="N36" i="40"/>
  <c r="I44" i="40"/>
  <c r="I49" i="40"/>
  <c r="J52" i="40"/>
  <c r="I44" i="38"/>
  <c r="J67" i="40"/>
  <c r="J64" i="40"/>
  <c r="J54" i="40"/>
  <c r="J62" i="40"/>
  <c r="J55" i="40"/>
  <c r="J63" i="40"/>
  <c r="J59" i="40"/>
  <c r="J51" i="40"/>
  <c r="M55" i="38" l="1"/>
  <c r="C13" i="37"/>
  <c r="E13" i="37" s="1"/>
  <c r="C14" i="37" s="1"/>
  <c r="E14" i="37" s="1"/>
  <c r="E15" i="37" s="1"/>
  <c r="M63" i="38"/>
  <c r="M61" i="38"/>
  <c r="M65" i="38"/>
  <c r="E27" i="37"/>
  <c r="M56" i="38"/>
  <c r="M43" i="38"/>
  <c r="M57" i="38"/>
  <c r="M66" i="38"/>
  <c r="M64" i="38"/>
  <c r="D56" i="51"/>
  <c r="E56" i="51" s="1"/>
  <c r="D55" i="49"/>
  <c r="E55" i="49" s="1"/>
  <c r="D55" i="50"/>
  <c r="E55" i="50" s="1"/>
  <c r="D55" i="48"/>
  <c r="E55" i="48" s="1"/>
  <c r="D55" i="46"/>
  <c r="E55" i="46" s="1"/>
  <c r="D55" i="45"/>
  <c r="E55" i="45" s="1"/>
  <c r="D55" i="44"/>
  <c r="E55" i="44" s="1"/>
  <c r="J68" i="38"/>
  <c r="M47" i="38"/>
  <c r="L41" i="38"/>
  <c r="L62" i="38"/>
  <c r="M62" i="38" s="1"/>
  <c r="L54" i="38"/>
  <c r="M54" i="38" s="1"/>
  <c r="L49" i="38"/>
  <c r="L44" i="38"/>
  <c r="M44" i="38" s="1"/>
  <c r="E71" i="44"/>
  <c r="N44" i="40"/>
  <c r="N35" i="40"/>
  <c r="C72" i="40"/>
  <c r="H39" i="40"/>
  <c r="M63" i="40"/>
  <c r="I54" i="40"/>
  <c r="M59" i="40"/>
  <c r="M46" i="40"/>
  <c r="J65" i="40"/>
  <c r="J53" i="40"/>
  <c r="H51" i="40"/>
  <c r="I47" i="40"/>
  <c r="I52" i="40"/>
  <c r="M43" i="40"/>
  <c r="M58" i="40"/>
  <c r="M57" i="40"/>
  <c r="M45" i="40"/>
  <c r="M39" i="40"/>
  <c r="M47" i="40"/>
  <c r="H49" i="40"/>
  <c r="J49" i="40"/>
  <c r="I46" i="40"/>
  <c r="M60" i="40"/>
  <c r="M48" i="40"/>
  <c r="M61" i="40"/>
  <c r="J58" i="40"/>
  <c r="J66" i="40"/>
  <c r="I41" i="40"/>
  <c r="M62" i="40"/>
  <c r="M52" i="40"/>
  <c r="M42" i="40"/>
  <c r="M55" i="40"/>
  <c r="J61" i="40"/>
  <c r="J60" i="40"/>
  <c r="I48" i="40"/>
  <c r="I43" i="40"/>
  <c r="M64" i="40"/>
  <c r="M67" i="40"/>
  <c r="M51" i="40"/>
  <c r="M41" i="40"/>
  <c r="M53" i="40"/>
  <c r="M66" i="40"/>
  <c r="M65" i="40"/>
  <c r="M50" i="40"/>
  <c r="M40" i="40"/>
  <c r="N40" i="40" s="1"/>
  <c r="M38" i="40"/>
  <c r="N38" i="40" s="1"/>
  <c r="D55" i="43"/>
  <c r="E55" i="43" s="1"/>
  <c r="K16" i="41"/>
  <c r="D27" i="31"/>
  <c r="D29" i="31" s="1"/>
  <c r="D30" i="31" s="1"/>
  <c r="D21" i="54" s="1"/>
  <c r="E21" i="54" s="1"/>
  <c r="E27" i="54" s="1"/>
  <c r="D7" i="54" s="1"/>
  <c r="E7" i="54" s="1"/>
  <c r="E9" i="54" s="1"/>
  <c r="E18" i="54" s="1"/>
  <c r="E29" i="54" s="1"/>
  <c r="H43" i="40"/>
  <c r="H45" i="40"/>
  <c r="N45" i="40" s="1"/>
  <c r="H47" i="40"/>
  <c r="F49" i="40"/>
  <c r="F47" i="40"/>
  <c r="F39" i="40"/>
  <c r="F43" i="40"/>
  <c r="H17" i="31"/>
  <c r="H25" i="31" s="1"/>
  <c r="H27" i="31" s="1"/>
  <c r="H29" i="31" s="1"/>
  <c r="H30" i="31" s="1"/>
  <c r="F27" i="31"/>
  <c r="F29" i="31" s="1"/>
  <c r="F30" i="31" s="1"/>
  <c r="E27" i="31"/>
  <c r="E29" i="31" s="1"/>
  <c r="E30" i="31" s="1"/>
  <c r="J57" i="40"/>
  <c r="J68" i="40"/>
  <c r="J56" i="40"/>
  <c r="J50" i="40"/>
  <c r="I50" i="40"/>
  <c r="I51" i="40"/>
  <c r="I53" i="40"/>
  <c r="E43" i="40"/>
  <c r="I51" i="38"/>
  <c r="M51" i="38" s="1"/>
  <c r="I46" i="38"/>
  <c r="I42" i="40"/>
  <c r="I48" i="38"/>
  <c r="M48" i="38" s="1"/>
  <c r="I53" i="38"/>
  <c r="M53" i="38" s="1"/>
  <c r="M56" i="40"/>
  <c r="M49" i="40"/>
  <c r="I50" i="38"/>
  <c r="M50" i="38" s="1"/>
  <c r="I52" i="38"/>
  <c r="M52" i="38" s="1"/>
  <c r="C122" i="51" l="1"/>
  <c r="E122" i="51"/>
  <c r="D122" i="51"/>
  <c r="G122" i="51"/>
  <c r="F122" i="51"/>
  <c r="D120" i="50"/>
  <c r="E120" i="50"/>
  <c r="F120" i="50"/>
  <c r="C120" i="50"/>
  <c r="G120" i="50"/>
  <c r="D120" i="49"/>
  <c r="G120" i="49"/>
  <c r="E120" i="49"/>
  <c r="F120" i="49"/>
  <c r="C120" i="49"/>
  <c r="D120" i="48"/>
  <c r="G120" i="48"/>
  <c r="E120" i="48"/>
  <c r="C120" i="48"/>
  <c r="F120" i="48"/>
  <c r="D120" i="46"/>
  <c r="C120" i="46"/>
  <c r="G120" i="46"/>
  <c r="F120" i="46"/>
  <c r="E120" i="46"/>
  <c r="G120" i="45"/>
  <c r="E120" i="45"/>
  <c r="C120" i="45"/>
  <c r="D120" i="45"/>
  <c r="F120" i="45"/>
  <c r="G120" i="44"/>
  <c r="E120" i="44"/>
  <c r="D120" i="44"/>
  <c r="C120" i="44"/>
  <c r="F120" i="44"/>
  <c r="N41" i="40"/>
  <c r="N47" i="40"/>
  <c r="E59" i="43"/>
  <c r="L6" i="52" s="1"/>
  <c r="C120" i="43"/>
  <c r="D120" i="43"/>
  <c r="F120" i="43"/>
  <c r="E120" i="43"/>
  <c r="G120" i="43"/>
  <c r="D6" i="37"/>
  <c r="E6" i="37" s="1"/>
  <c r="E8" i="37" s="1"/>
  <c r="N7" i="41"/>
  <c r="N7" i="52"/>
  <c r="L68" i="38"/>
  <c r="E59" i="44"/>
  <c r="E59" i="45"/>
  <c r="E59" i="48"/>
  <c r="E59" i="50"/>
  <c r="E59" i="49"/>
  <c r="E59" i="46"/>
  <c r="E60" i="51"/>
  <c r="J72" i="40"/>
  <c r="E123" i="44"/>
  <c r="G123" i="44"/>
  <c r="F123" i="44"/>
  <c r="D123" i="44"/>
  <c r="C105" i="44"/>
  <c r="C123" i="44"/>
  <c r="N46" i="40"/>
  <c r="N48" i="40"/>
  <c r="M72" i="40"/>
  <c r="H72" i="40"/>
  <c r="F32" i="31"/>
  <c r="D38" i="38"/>
  <c r="D41" i="38"/>
  <c r="M41" i="38" s="1"/>
  <c r="D45" i="38"/>
  <c r="M45" i="38" s="1"/>
  <c r="D49" i="38"/>
  <c r="M49" i="38" s="1"/>
  <c r="F72" i="40"/>
  <c r="N42" i="40"/>
  <c r="I72" i="40"/>
  <c r="M46" i="38"/>
  <c r="I68" i="38"/>
  <c r="M32" i="38"/>
  <c r="N43" i="40"/>
  <c r="E72" i="40"/>
  <c r="N39" i="40"/>
  <c r="C103" i="43" l="1"/>
  <c r="L6" i="41"/>
  <c r="E17" i="37"/>
  <c r="E29" i="37" s="1"/>
  <c r="E31" i="37"/>
  <c r="B63" i="41" s="1"/>
  <c r="D19" i="45" s="1"/>
  <c r="E19" i="45" s="1"/>
  <c r="C27" i="45" s="1"/>
  <c r="E27" i="45" s="1"/>
  <c r="E28" i="45" s="1"/>
  <c r="L9" i="52"/>
  <c r="L9" i="41"/>
  <c r="C103" i="48"/>
  <c r="L10" i="52"/>
  <c r="L10" i="41"/>
  <c r="C103" i="50"/>
  <c r="L12" i="52"/>
  <c r="L12" i="41"/>
  <c r="C105" i="51"/>
  <c r="L13" i="52"/>
  <c r="L13" i="41"/>
  <c r="L7" i="52"/>
  <c r="L7" i="41"/>
  <c r="C103" i="49"/>
  <c r="L11" i="52"/>
  <c r="L11" i="41"/>
  <c r="L8" i="52"/>
  <c r="L8" i="41"/>
  <c r="C103" i="45"/>
  <c r="C103" i="46"/>
  <c r="C103" i="44"/>
  <c r="D30" i="43"/>
  <c r="E30" i="43" s="1"/>
  <c r="E34" i="43" s="1"/>
  <c r="C100" i="43" s="1"/>
  <c r="D30" i="50"/>
  <c r="E30" i="50" s="1"/>
  <c r="E34" i="50" s="1"/>
  <c r="C100" i="50" s="1"/>
  <c r="D31" i="51"/>
  <c r="E31" i="51" s="1"/>
  <c r="E35" i="51" s="1"/>
  <c r="C102" i="51" s="1"/>
  <c r="D30" i="49"/>
  <c r="E30" i="49" s="1"/>
  <c r="E34" i="49" s="1"/>
  <c r="C100" i="49" s="1"/>
  <c r="D30" i="48"/>
  <c r="E30" i="48" s="1"/>
  <c r="E34" i="48" s="1"/>
  <c r="C100" i="48" s="1"/>
  <c r="D30" i="46"/>
  <c r="E30" i="46" s="1"/>
  <c r="E34" i="46" s="1"/>
  <c r="C100" i="46" s="1"/>
  <c r="D30" i="45"/>
  <c r="E30" i="45" s="1"/>
  <c r="E34" i="45" s="1"/>
  <c r="C100" i="45" s="1"/>
  <c r="D30" i="44"/>
  <c r="E30" i="44" s="1"/>
  <c r="E34" i="44" s="1"/>
  <c r="C100" i="44" s="1"/>
  <c r="K68" i="40"/>
  <c r="N68" i="40" s="1"/>
  <c r="K69" i="40"/>
  <c r="N69" i="40" s="1"/>
  <c r="K51" i="40"/>
  <c r="N51" i="40" s="1"/>
  <c r="K71" i="40"/>
  <c r="N71" i="40" s="1"/>
  <c r="K58" i="40"/>
  <c r="N58" i="40" s="1"/>
  <c r="K63" i="40"/>
  <c r="N63" i="40" s="1"/>
  <c r="K57" i="40"/>
  <c r="N57" i="40" s="1"/>
  <c r="K65" i="40"/>
  <c r="N65" i="40" s="1"/>
  <c r="K52" i="40"/>
  <c r="N52" i="40" s="1"/>
  <c r="N33" i="40"/>
  <c r="K53" i="40"/>
  <c r="N53" i="40" s="1"/>
  <c r="K56" i="40"/>
  <c r="N56" i="40" s="1"/>
  <c r="K66" i="40"/>
  <c r="N66" i="40" s="1"/>
  <c r="K64" i="40"/>
  <c r="N64" i="40" s="1"/>
  <c r="K62" i="40"/>
  <c r="N62" i="40" s="1"/>
  <c r="K70" i="40"/>
  <c r="N70" i="40" s="1"/>
  <c r="K67" i="40"/>
  <c r="N67" i="40" s="1"/>
  <c r="K60" i="40"/>
  <c r="N60" i="40" s="1"/>
  <c r="K55" i="40"/>
  <c r="N55" i="40" s="1"/>
  <c r="K59" i="40"/>
  <c r="N59" i="40" s="1"/>
  <c r="K50" i="40"/>
  <c r="N50" i="40" s="1"/>
  <c r="K49" i="40"/>
  <c r="K61" i="40"/>
  <c r="N61" i="40" s="1"/>
  <c r="K54" i="40"/>
  <c r="N54" i="40" s="1"/>
  <c r="D68" i="38"/>
  <c r="M68" i="38" s="1"/>
  <c r="M38" i="38"/>
  <c r="L16" i="41" l="1"/>
  <c r="D19" i="46"/>
  <c r="E19" i="46" s="1"/>
  <c r="C27" i="46" s="1"/>
  <c r="E27" i="46" s="1"/>
  <c r="E28" i="46" s="1"/>
  <c r="C99" i="46" s="1"/>
  <c r="D19" i="48"/>
  <c r="E19" i="48" s="1"/>
  <c r="C27" i="48" s="1"/>
  <c r="E27" i="48" s="1"/>
  <c r="E28" i="48" s="1"/>
  <c r="C99" i="48" s="1"/>
  <c r="D19" i="49"/>
  <c r="E19" i="49" s="1"/>
  <c r="C27" i="49" s="1"/>
  <c r="E27" i="49" s="1"/>
  <c r="E28" i="49" s="1"/>
  <c r="C99" i="49" s="1"/>
  <c r="D19" i="50"/>
  <c r="E19" i="50" s="1"/>
  <c r="C27" i="50" s="1"/>
  <c r="E27" i="50" s="1"/>
  <c r="E28" i="50" s="1"/>
  <c r="C99" i="50" s="1"/>
  <c r="D20" i="51"/>
  <c r="E20" i="51" s="1"/>
  <c r="C28" i="51" s="1"/>
  <c r="E28" i="51" s="1"/>
  <c r="E29" i="51" s="1"/>
  <c r="E36" i="51" s="1"/>
  <c r="D19" i="44"/>
  <c r="E19" i="44" s="1"/>
  <c r="C27" i="44" s="1"/>
  <c r="E27" i="44" s="1"/>
  <c r="E28" i="44" s="1"/>
  <c r="E35" i="44" s="1"/>
  <c r="D19" i="43"/>
  <c r="E19" i="43" s="1"/>
  <c r="C27" i="43" s="1"/>
  <c r="E27" i="43" s="1"/>
  <c r="E28" i="43" s="1"/>
  <c r="C99" i="43" s="1"/>
  <c r="L16" i="52"/>
  <c r="L17" i="41"/>
  <c r="L17" i="52"/>
  <c r="C99" i="45"/>
  <c r="E35" i="45"/>
  <c r="K72" i="40"/>
  <c r="N72" i="40" s="1"/>
  <c r="N49" i="40"/>
  <c r="C99" i="44" l="1"/>
  <c r="E35" i="48"/>
  <c r="G116" i="48" s="1"/>
  <c r="E35" i="46"/>
  <c r="I9" i="52" s="1"/>
  <c r="E35" i="50"/>
  <c r="I12" i="52" s="1"/>
  <c r="C101" i="51"/>
  <c r="E35" i="43"/>
  <c r="I6" i="52" s="1"/>
  <c r="E35" i="49"/>
  <c r="I11" i="52" s="1"/>
  <c r="I8" i="52"/>
  <c r="I8" i="41"/>
  <c r="I7" i="52"/>
  <c r="I7" i="41"/>
  <c r="I13" i="41"/>
  <c r="I13" i="52"/>
  <c r="F116" i="45"/>
  <c r="G116" i="45"/>
  <c r="E116" i="45"/>
  <c r="C116" i="45"/>
  <c r="D116" i="45"/>
  <c r="E63" i="45"/>
  <c r="E64" i="45" s="1"/>
  <c r="D116" i="44"/>
  <c r="C116" i="44"/>
  <c r="E116" i="44"/>
  <c r="G116" i="44"/>
  <c r="F116" i="44"/>
  <c r="E63" i="44"/>
  <c r="E64" i="44" s="1"/>
  <c r="E118" i="51"/>
  <c r="C118" i="51"/>
  <c r="F118" i="51"/>
  <c r="D118" i="51"/>
  <c r="E64" i="51"/>
  <c r="G118" i="51"/>
  <c r="E65" i="51" l="1"/>
  <c r="E123" i="51" s="1"/>
  <c r="E124" i="51" s="1"/>
  <c r="E126" i="51" s="1"/>
  <c r="E127" i="51" s="1"/>
  <c r="C123" i="51"/>
  <c r="F123" i="51"/>
  <c r="D123" i="51"/>
  <c r="D124" i="51" s="1"/>
  <c r="D126" i="51" s="1"/>
  <c r="D127" i="51" s="1"/>
  <c r="G123" i="51"/>
  <c r="G124" i="51" s="1"/>
  <c r="G126" i="51" s="1"/>
  <c r="G127" i="51" s="1"/>
  <c r="F124" i="51"/>
  <c r="F126" i="51" s="1"/>
  <c r="F127" i="51" s="1"/>
  <c r="C124" i="51"/>
  <c r="C126" i="51" s="1"/>
  <c r="C127" i="51" s="1"/>
  <c r="C121" i="45"/>
  <c r="C122" i="45" s="1"/>
  <c r="C124" i="45" s="1"/>
  <c r="C125" i="45" s="1"/>
  <c r="D121" i="45"/>
  <c r="G121" i="45"/>
  <c r="G122" i="45" s="1"/>
  <c r="G124" i="45" s="1"/>
  <c r="G125" i="45" s="1"/>
  <c r="F121" i="45"/>
  <c r="F122" i="45" s="1"/>
  <c r="F124" i="45" s="1"/>
  <c r="F125" i="45" s="1"/>
  <c r="E121" i="45"/>
  <c r="E122" i="45" s="1"/>
  <c r="E124" i="45" s="1"/>
  <c r="E125" i="45" s="1"/>
  <c r="D122" i="45"/>
  <c r="D124" i="45" s="1"/>
  <c r="D125" i="45" s="1"/>
  <c r="M7" i="52"/>
  <c r="G121" i="44"/>
  <c r="G122" i="44" s="1"/>
  <c r="G124" i="44" s="1"/>
  <c r="G125" i="44" s="1"/>
  <c r="E121" i="44"/>
  <c r="C121" i="44"/>
  <c r="D121" i="44"/>
  <c r="D122" i="44" s="1"/>
  <c r="D124" i="44" s="1"/>
  <c r="D125" i="44" s="1"/>
  <c r="F121" i="44"/>
  <c r="F122" i="44" s="1"/>
  <c r="F124" i="44" s="1"/>
  <c r="F125" i="44" s="1"/>
  <c r="E116" i="46"/>
  <c r="E63" i="46"/>
  <c r="E64" i="46" s="1"/>
  <c r="G116" i="46"/>
  <c r="D116" i="46"/>
  <c r="I9" i="41"/>
  <c r="E116" i="43"/>
  <c r="C116" i="43"/>
  <c r="E116" i="50"/>
  <c r="I11" i="41"/>
  <c r="G116" i="49"/>
  <c r="C116" i="49"/>
  <c r="E116" i="49"/>
  <c r="E63" i="48"/>
  <c r="E64" i="48" s="1"/>
  <c r="I10" i="41"/>
  <c r="I10" i="52"/>
  <c r="I16" i="52" s="1"/>
  <c r="D116" i="48"/>
  <c r="C116" i="48"/>
  <c r="E116" i="48"/>
  <c r="F116" i="48"/>
  <c r="F116" i="46"/>
  <c r="C116" i="46"/>
  <c r="F116" i="49"/>
  <c r="D116" i="49"/>
  <c r="E63" i="49"/>
  <c r="E64" i="49" s="1"/>
  <c r="E63" i="50"/>
  <c r="E64" i="50" s="1"/>
  <c r="G116" i="50"/>
  <c r="F116" i="50"/>
  <c r="C116" i="50"/>
  <c r="D116" i="50"/>
  <c r="I12" i="41"/>
  <c r="F116" i="43"/>
  <c r="D116" i="43"/>
  <c r="G116" i="43"/>
  <c r="I6" i="41"/>
  <c r="M8" i="41"/>
  <c r="M8" i="52"/>
  <c r="E66" i="44"/>
  <c r="D111" i="44" s="1"/>
  <c r="M7" i="41"/>
  <c r="J17" i="41"/>
  <c r="J16" i="41"/>
  <c r="C106" i="51"/>
  <c r="C108" i="51" s="1"/>
  <c r="D104" i="51" s="1"/>
  <c r="C104" i="45"/>
  <c r="E122" i="44"/>
  <c r="E124" i="44" s="1"/>
  <c r="E125" i="44" s="1"/>
  <c r="C122" i="44"/>
  <c r="C124" i="44" s="1"/>
  <c r="C125" i="44" s="1"/>
  <c r="E67" i="51"/>
  <c r="C104" i="44"/>
  <c r="E66" i="45"/>
  <c r="E69" i="43"/>
  <c r="M13" i="52" l="1"/>
  <c r="M13" i="41"/>
  <c r="E66" i="48"/>
  <c r="E111" i="48" s="1"/>
  <c r="C121" i="48"/>
  <c r="D121" i="48"/>
  <c r="G121" i="48"/>
  <c r="G122" i="48" s="1"/>
  <c r="G124" i="48" s="1"/>
  <c r="G125" i="48" s="1"/>
  <c r="F121" i="48"/>
  <c r="F122" i="48" s="1"/>
  <c r="F124" i="48" s="1"/>
  <c r="F125" i="48" s="1"/>
  <c r="E121" i="48"/>
  <c r="E122" i="48" s="1"/>
  <c r="E124" i="48" s="1"/>
  <c r="E125" i="48" s="1"/>
  <c r="M9" i="52"/>
  <c r="G121" i="46"/>
  <c r="G122" i="46" s="1"/>
  <c r="G124" i="46" s="1"/>
  <c r="G125" i="46" s="1"/>
  <c r="E121" i="46"/>
  <c r="E122" i="46" s="1"/>
  <c r="E124" i="46" s="1"/>
  <c r="E125" i="46" s="1"/>
  <c r="F121" i="46"/>
  <c r="F122" i="46" s="1"/>
  <c r="F124" i="46" s="1"/>
  <c r="F125" i="46" s="1"/>
  <c r="C121" i="46"/>
  <c r="C122" i="46" s="1"/>
  <c r="C124" i="46" s="1"/>
  <c r="C125" i="46" s="1"/>
  <c r="D121" i="46"/>
  <c r="D122" i="46" s="1"/>
  <c r="D124" i="46" s="1"/>
  <c r="D125" i="46" s="1"/>
  <c r="C104" i="50"/>
  <c r="C106" i="50" s="1"/>
  <c r="D104" i="50" s="1"/>
  <c r="E121" i="50"/>
  <c r="E122" i="50" s="1"/>
  <c r="E124" i="50" s="1"/>
  <c r="E125" i="50" s="1"/>
  <c r="C121" i="50"/>
  <c r="C122" i="50" s="1"/>
  <c r="C124" i="50" s="1"/>
  <c r="C125" i="50" s="1"/>
  <c r="D121" i="50"/>
  <c r="D122" i="50" s="1"/>
  <c r="D124" i="50" s="1"/>
  <c r="D125" i="50" s="1"/>
  <c r="F121" i="50"/>
  <c r="F122" i="50" s="1"/>
  <c r="F124" i="50" s="1"/>
  <c r="F125" i="50" s="1"/>
  <c r="G121" i="50"/>
  <c r="G122" i="50" s="1"/>
  <c r="G124" i="50" s="1"/>
  <c r="G125" i="50" s="1"/>
  <c r="C122" i="48"/>
  <c r="C124" i="48" s="1"/>
  <c r="C125" i="48" s="1"/>
  <c r="D122" i="48"/>
  <c r="D124" i="48" s="1"/>
  <c r="D125" i="48" s="1"/>
  <c r="E122" i="49"/>
  <c r="E124" i="49" s="1"/>
  <c r="E125" i="49" s="1"/>
  <c r="E66" i="49"/>
  <c r="F111" i="49" s="1"/>
  <c r="F121" i="49"/>
  <c r="F122" i="49" s="1"/>
  <c r="F124" i="49" s="1"/>
  <c r="F125" i="49" s="1"/>
  <c r="G121" i="49"/>
  <c r="G122" i="49" s="1"/>
  <c r="G124" i="49" s="1"/>
  <c r="G125" i="49" s="1"/>
  <c r="D121" i="49"/>
  <c r="D122" i="49" s="1"/>
  <c r="D124" i="49" s="1"/>
  <c r="D125" i="49" s="1"/>
  <c r="E121" i="49"/>
  <c r="C121" i="49"/>
  <c r="C122" i="49" s="1"/>
  <c r="C124" i="49" s="1"/>
  <c r="C125" i="49" s="1"/>
  <c r="M9" i="41"/>
  <c r="C104" i="46"/>
  <c r="C106" i="46" s="1"/>
  <c r="D104" i="46" s="1"/>
  <c r="E66" i="46"/>
  <c r="F111" i="46" s="1"/>
  <c r="I17" i="52"/>
  <c r="M12" i="52"/>
  <c r="M12" i="41"/>
  <c r="E66" i="50"/>
  <c r="C111" i="50" s="1"/>
  <c r="I16" i="41"/>
  <c r="M11" i="52"/>
  <c r="C104" i="49"/>
  <c r="C106" i="49" s="1"/>
  <c r="D104" i="49" s="1"/>
  <c r="M11" i="41"/>
  <c r="M10" i="41"/>
  <c r="M10" i="52"/>
  <c r="C104" i="48"/>
  <c r="C106" i="48" s="1"/>
  <c r="D101" i="48" s="1"/>
  <c r="I17" i="41"/>
  <c r="D9" i="44"/>
  <c r="G7" i="52" s="1"/>
  <c r="F23" i="52" s="1"/>
  <c r="C111" i="44"/>
  <c r="E111" i="44"/>
  <c r="F111" i="44"/>
  <c r="G111" i="44"/>
  <c r="D101" i="51"/>
  <c r="D105" i="51"/>
  <c r="D106" i="51"/>
  <c r="D102" i="51"/>
  <c r="D103" i="51"/>
  <c r="D111" i="49"/>
  <c r="C111" i="49"/>
  <c r="D9" i="49"/>
  <c r="E111" i="49"/>
  <c r="E71" i="43"/>
  <c r="N6" i="52" s="1"/>
  <c r="E63" i="43"/>
  <c r="E64" i="43" s="1"/>
  <c r="E113" i="51"/>
  <c r="C113" i="51"/>
  <c r="G113" i="51"/>
  <c r="D9" i="51"/>
  <c r="G13" i="52" s="1"/>
  <c r="F29" i="52" s="1"/>
  <c r="F113" i="51"/>
  <c r="D113" i="51"/>
  <c r="C111" i="48"/>
  <c r="G111" i="48"/>
  <c r="D111" i="48"/>
  <c r="D9" i="48"/>
  <c r="G10" i="52" s="1"/>
  <c r="F26" i="52" s="1"/>
  <c r="F111" i="48"/>
  <c r="C111" i="45"/>
  <c r="G111" i="45"/>
  <c r="F111" i="45"/>
  <c r="D9" i="45"/>
  <c r="G8" i="52" s="1"/>
  <c r="F24" i="52" s="1"/>
  <c r="G24" i="52" s="1"/>
  <c r="D111" i="45"/>
  <c r="E111" i="45"/>
  <c r="C106" i="44"/>
  <c r="D104" i="44" s="1"/>
  <c r="C106" i="45"/>
  <c r="D104" i="45" s="1"/>
  <c r="D99" i="50" l="1"/>
  <c r="D101" i="50"/>
  <c r="D102" i="50"/>
  <c r="G111" i="49"/>
  <c r="D103" i="50"/>
  <c r="D100" i="50"/>
  <c r="C121" i="43"/>
  <c r="F121" i="43"/>
  <c r="D121" i="43"/>
  <c r="G121" i="43"/>
  <c r="E121" i="43"/>
  <c r="D103" i="48"/>
  <c r="E111" i="46"/>
  <c r="D111" i="46"/>
  <c r="D9" i="46"/>
  <c r="G9" i="52" s="1"/>
  <c r="F25" i="52" s="1"/>
  <c r="G25" i="52" s="1"/>
  <c r="G111" i="46"/>
  <c r="C111" i="46"/>
  <c r="D9" i="50"/>
  <c r="G12" i="52" s="1"/>
  <c r="F28" i="52" s="1"/>
  <c r="J28" i="52" s="1"/>
  <c r="K28" i="52" s="1"/>
  <c r="D111" i="50"/>
  <c r="G111" i="50"/>
  <c r="E111" i="50"/>
  <c r="F111" i="50"/>
  <c r="D102" i="49"/>
  <c r="D103" i="49"/>
  <c r="D101" i="49"/>
  <c r="D99" i="49"/>
  <c r="D100" i="49"/>
  <c r="D104" i="48"/>
  <c r="D99" i="48"/>
  <c r="D102" i="48"/>
  <c r="D100" i="48"/>
  <c r="E9" i="44"/>
  <c r="E11" i="44" s="1"/>
  <c r="H7" i="52" s="1"/>
  <c r="N17" i="52"/>
  <c r="N16" i="52"/>
  <c r="G26" i="52"/>
  <c r="J26" i="52"/>
  <c r="K26" i="52" s="1"/>
  <c r="G7" i="41"/>
  <c r="G29" i="52"/>
  <c r="J29" i="52"/>
  <c r="K29" i="52" s="1"/>
  <c r="G23" i="52"/>
  <c r="J23" i="52"/>
  <c r="K23" i="52" s="1"/>
  <c r="M6" i="41"/>
  <c r="M17" i="41" s="1"/>
  <c r="M6" i="52"/>
  <c r="G11" i="41"/>
  <c r="G11" i="52"/>
  <c r="F27" i="52" s="1"/>
  <c r="D108" i="51"/>
  <c r="N6" i="41"/>
  <c r="N17" i="41" s="1"/>
  <c r="E9" i="49"/>
  <c r="E11" i="49" s="1"/>
  <c r="H11" i="52" s="1"/>
  <c r="C123" i="43"/>
  <c r="G123" i="43"/>
  <c r="G122" i="43" s="1"/>
  <c r="G124" i="43" s="1"/>
  <c r="G125" i="43" s="1"/>
  <c r="F123" i="43"/>
  <c r="F122" i="43" s="1"/>
  <c r="F124" i="43" s="1"/>
  <c r="F125" i="43" s="1"/>
  <c r="E123" i="43"/>
  <c r="D123" i="43"/>
  <c r="C105" i="43"/>
  <c r="D106" i="50"/>
  <c r="D100" i="45"/>
  <c r="D101" i="45"/>
  <c r="D103" i="45"/>
  <c r="D102" i="45"/>
  <c r="D99" i="45"/>
  <c r="D102" i="46"/>
  <c r="D100" i="46"/>
  <c r="D103" i="46"/>
  <c r="D101" i="46"/>
  <c r="D99" i="46"/>
  <c r="E9" i="45"/>
  <c r="E11" i="45" s="1"/>
  <c r="G8" i="41"/>
  <c r="E9" i="51"/>
  <c r="E11" i="51" s="1"/>
  <c r="G13" i="41"/>
  <c r="D101" i="44"/>
  <c r="D102" i="44"/>
  <c r="D103" i="44"/>
  <c r="D99" i="44"/>
  <c r="D100" i="44"/>
  <c r="E9" i="48"/>
  <c r="E11" i="48" s="1"/>
  <c r="G10" i="41"/>
  <c r="E66" i="43"/>
  <c r="C104" i="43"/>
  <c r="D122" i="43" l="1"/>
  <c r="D124" i="43" s="1"/>
  <c r="D125" i="43" s="1"/>
  <c r="C122" i="43"/>
  <c r="C124" i="43" s="1"/>
  <c r="C125" i="43" s="1"/>
  <c r="D111" i="43"/>
  <c r="F72" i="43"/>
  <c r="E122" i="43"/>
  <c r="E124" i="43" s="1"/>
  <c r="E125" i="43" s="1"/>
  <c r="E9" i="46"/>
  <c r="E11" i="46" s="1"/>
  <c r="E73" i="46" s="1"/>
  <c r="N16" i="41"/>
  <c r="J25" i="52"/>
  <c r="K25" i="52" s="1"/>
  <c r="G9" i="41"/>
  <c r="G28" i="52"/>
  <c r="E9" i="50"/>
  <c r="E11" i="50" s="1"/>
  <c r="H12" i="52" s="1"/>
  <c r="G12" i="41"/>
  <c r="D106" i="49"/>
  <c r="D106" i="48"/>
  <c r="H7" i="41"/>
  <c r="E73" i="44"/>
  <c r="G27" i="52"/>
  <c r="J27" i="52"/>
  <c r="K27" i="52" s="1"/>
  <c r="M17" i="52"/>
  <c r="M16" i="52"/>
  <c r="H13" i="41"/>
  <c r="H13" i="52"/>
  <c r="H10" i="41"/>
  <c r="H10" i="52"/>
  <c r="H8" i="41"/>
  <c r="H8" i="52"/>
  <c r="E73" i="49"/>
  <c r="H11" i="41"/>
  <c r="C106" i="43"/>
  <c r="D103" i="43" s="1"/>
  <c r="D106" i="46"/>
  <c r="D106" i="45"/>
  <c r="E74" i="51"/>
  <c r="E73" i="48"/>
  <c r="D106" i="44"/>
  <c r="E73" i="45"/>
  <c r="G111" i="43"/>
  <c r="D9" i="43"/>
  <c r="E111" i="43"/>
  <c r="C111" i="43"/>
  <c r="F111" i="43"/>
  <c r="M16" i="41"/>
  <c r="E73" i="50" l="1"/>
  <c r="H9" i="52"/>
  <c r="H9" i="41"/>
  <c r="H12" i="41"/>
  <c r="D101" i="43"/>
  <c r="D102" i="43"/>
  <c r="D99" i="43"/>
  <c r="E9" i="43"/>
  <c r="E11" i="43" s="1"/>
  <c r="E73" i="43" s="1"/>
  <c r="G6" i="52"/>
  <c r="F22" i="52" s="1"/>
  <c r="D100" i="43"/>
  <c r="D104" i="43"/>
  <c r="G6" i="41"/>
  <c r="G22" i="52" l="1"/>
  <c r="J22" i="52"/>
  <c r="K22" i="52" s="1"/>
  <c r="H6" i="41"/>
  <c r="H17" i="41" s="1"/>
  <c r="H6" i="52"/>
  <c r="D106" i="43"/>
  <c r="H16" i="41" l="1"/>
  <c r="H17" i="52"/>
  <c r="H16" i="5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42" authorId="0" shapeId="0" xr:uid="{58524C31-C274-4494-8CEF-46105768FB6C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200 tim i tyska kalkyl
100 tim i välskötta svenska ekoodlingar
</t>
        </r>
      </text>
    </comment>
    <comment ref="B53" authorId="0" shapeId="0" xr:uid="{670494DC-0DFD-475F-8968-DA7E1DACB633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35 ton säljbart, 50 ton brutto</t>
        </r>
      </text>
    </comment>
    <comment ref="F53" authorId="0" shapeId="0" xr:uid="{93F62102-37F3-4ED2-BE46-F41365ADE9FA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säljs till packeri</t>
        </r>
      </text>
    </comment>
    <comment ref="G53" authorId="0" shapeId="0" xr:uid="{9CFEDC93-4109-40DB-ADC7-51613C113F7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eko odlas på samma sätt som konv förutom att man har skyddsnät i eko</t>
        </r>
      </text>
    </comment>
    <comment ref="B57" authorId="0" shapeId="0" xr:uid="{02CCB017-F7D9-401A-A964-ABDF5D1F994E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600x35=21000 euro/ha</t>
        </r>
      </text>
    </comment>
    <comment ref="H57" authorId="0" shapeId="0" xr:uid="{B1F8449C-D1F2-4C47-8001-6C161E37ACC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 1000 huvuden</t>
        </r>
      </text>
    </comment>
    <comment ref="B64" authorId="0" shapeId="0" xr:uid="{3D237935-FD9A-4B0A-98DD-F1568E12420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Lagring 6 tim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Bengt</author>
    <author>Admin</author>
  </authors>
  <commentList>
    <comment ref="D18" authorId="0" shapeId="0" xr:uid="{B94F7AED-EF4C-41C8-8040-A7DDFC50D442}">
      <text>
        <r>
          <rPr>
            <sz val="8"/>
            <color indexed="81"/>
            <rFont val="Tahoma"/>
            <family val="2"/>
          </rPr>
          <t xml:space="preserve">Fårnät 15 kr/m, Tryckta stolpar 50 mm *250 cm 30 kr/st, 2 m stolpavstånd, 6 års avskr, 2 % ränta.
</t>
        </r>
      </text>
    </comment>
    <comment ref="A89" authorId="1" shapeId="0" xr:uid="{D7E82409-4EC7-49D2-80C9-4920D7167C8D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 tim i tyska kalkyl
10 tim i välskötta svenska ekoodlingar
</t>
        </r>
      </text>
    </comment>
    <comment ref="H93" authorId="1" shapeId="0" xr:uid="{A14CFF95-038A-49DB-9E9E-DC99C246DD89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 20% fast 80% rörligt
Normalskörd 5000 kg/1000m2
</t>
        </r>
      </text>
    </comment>
    <comment ref="A103" authorId="1" shapeId="0" xr:uid="{10098C81-0A60-4C10-A8DF-A8C5CDBA29D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20% ses som fast och 80% som rörligt proportionellt till skördenivån</t>
        </r>
      </text>
    </comment>
    <comment ref="A136" authorId="1" shapeId="0" xr:uid="{FE955D91-BDB9-49EC-990A-57F92126F575}">
      <text>
        <r>
          <rPr>
            <sz val="9"/>
            <color indexed="81"/>
            <rFont val="Tahoma"/>
            <family val="2"/>
          </rPr>
          <t xml:space="preserve">inkl. frakt
</t>
        </r>
      </text>
    </comment>
    <comment ref="E136" authorId="1" shapeId="0" xr:uid="{0A673BEB-07B9-4AC3-8A5F-959903B545C9}">
      <text>
        <r>
          <rPr>
            <sz val="9"/>
            <color indexed="81"/>
            <rFont val="Tahoma"/>
            <family val="2"/>
          </rPr>
          <t xml:space="preserve">inkl. frakt
</t>
        </r>
      </text>
    </comment>
    <comment ref="A140" authorId="1" shapeId="0" xr:uid="{928CA766-A5D1-4F8F-BC0E-618CC4F4647F}">
      <text>
        <r>
          <rPr>
            <sz val="9"/>
            <color indexed="81"/>
            <rFont val="Tahoma"/>
            <family val="2"/>
          </rPr>
          <t>inkl frakt</t>
        </r>
      </text>
    </comment>
    <comment ref="E140" authorId="1" shapeId="0" xr:uid="{193C3AFF-ED23-4847-A7F8-4A8A44181EAD}">
      <text>
        <r>
          <rPr>
            <sz val="9"/>
            <color indexed="81"/>
            <rFont val="Tahoma"/>
            <family val="2"/>
          </rPr>
          <t>inkl. frakt</t>
        </r>
      </text>
    </comment>
    <comment ref="A149" authorId="1" shapeId="0" xr:uid="{589B2860-B778-4779-94CC-1DCA00172BB5}">
      <text>
        <r>
          <rPr>
            <sz val="9"/>
            <color indexed="81"/>
            <rFont val="Tahoma"/>
            <family val="2"/>
          </rPr>
          <t>Ballvoll: Konservärt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Bengt</author>
  </authors>
  <commentList>
    <comment ref="E4" authorId="0" shapeId="0" xr:uid="{00000000-0006-0000-0E00-000001000000}">
      <text>
        <r>
          <rPr>
            <sz val="8"/>
            <color indexed="81"/>
            <rFont val="Tahoma"/>
            <family val="2"/>
          </rPr>
          <t>Typ Weed Mastyer, ej flammare och spruta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Bengt</author>
  </authors>
  <commentList>
    <comment ref="A25" authorId="0" shapeId="0" xr:uid="{49F94420-0470-4C67-B187-B021C2E3FE75}">
      <text>
        <r>
          <rPr>
            <sz val="9"/>
            <color indexed="81"/>
            <rFont val="Tahoma"/>
            <family val="2"/>
          </rPr>
          <t xml:space="preserve">Lantarbetaravtalet 2019/20, arbetande förman, 6 års erfarenhet. 236 kr/ tim + 20% = 283 kr/tim
</t>
        </r>
      </text>
    </comment>
    <comment ref="A36" authorId="0" shapeId="0" xr:uid="{2A663B93-CF8A-4B8D-A78E-82FBC982A5F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Biofer, Bina m.fl
</t>
        </r>
      </text>
    </comment>
    <comment ref="E45" authorId="0" shapeId="0" xr:uid="{482B014E-7E78-4E62-B034-9A62E78FB739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Lindesro. 4100-4500 kr/5 l beroende på mängd. Säljer mest till mindre odlngar.
Gullviks: Listpris 4950 kr/5 l. Odlare har rabatt men den jag pratade med visste inte hus stora.
Uppenbarligen tillämpar man ganska höga rabatter på bekämpningsmedel.
</t>
        </r>
      </text>
    </comment>
    <comment ref="B73" authorId="0" shapeId="0" xr:uid="{A082D2CF-2069-4329-B624-B2DFDD7FC7FC}">
      <text>
        <r>
          <rPr>
            <sz val="9"/>
            <color indexed="81"/>
            <rFont val="Tahoma"/>
            <family val="2"/>
          </rPr>
          <t>http://www.jordbruksverket.se/amnesomraden/odling/jordbruksgrodor/vete/vaxtnaring/stallgodsel/tabellerstallgodsel.4.3229365112c8a099bd980001803.html</t>
        </r>
      </text>
    </comment>
    <comment ref="C73" authorId="0" shapeId="0" xr:uid="{0E19C9DE-04CA-45B6-A231-A4E0FF8C48F9}">
      <text>
        <r>
          <rPr>
            <sz val="9"/>
            <color indexed="81"/>
            <rFont val="Tahoma"/>
            <family val="2"/>
          </rPr>
          <t>http://www.jordbruksverket.se/amnesomraden/odling/jordbruksgrodor/vete/vaxtnaring/stallgodsel/tabellerstallgodsel.4.3229365112c8a099bd980001803.html</t>
        </r>
      </text>
    </comment>
    <comment ref="B74" authorId="1" shapeId="0" xr:uid="{E6477D20-E5DB-4EDE-9D77-218DDAD4A908}">
      <text>
        <r>
          <rPr>
            <sz val="8"/>
            <color indexed="81"/>
            <rFont val="Tahoma"/>
            <family val="2"/>
          </rPr>
          <t>Kväveeffekt vid vårspridning 0,9 kg/ton. Kväveinnehåll 5,2 kg/ton</t>
        </r>
      </text>
    </comment>
    <comment ref="C74" authorId="1" shapeId="0" xr:uid="{316C26C1-01B6-4EFD-ADCE-EB2BCF29CC78}">
      <text>
        <r>
          <rPr>
            <sz val="8"/>
            <color indexed="81"/>
            <rFont val="Tahoma"/>
            <family val="2"/>
          </rPr>
          <t>Kväveeffekt vid vårspridning 5 kg/ton. Kväveinnehåll 11,8 kg/ton</t>
        </r>
      </text>
    </comment>
    <comment ref="A101" authorId="0" shapeId="0" xr:uid="{6B53749C-AED2-4C16-A02E-32405F2F8E7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20% ses som fast och 80% som rörligt proportionellt till skördenivån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8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 tim i tyska kalkyl
10 tim i välskötta svenska ekoodlingar
</t>
        </r>
      </text>
    </comment>
    <comment ref="H91" authorId="0" shapeId="0" xr:uid="{0F4EA4C0-BC86-4895-A211-2E6E1396FB7A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 20% fast 80% rörligt
Normalskörd 55
00 kg/1000m2
</t>
        </r>
      </text>
    </comment>
    <comment ref="A101" authorId="0" shapeId="0" xr:uid="{7CDE93ED-84A8-4D41-85F0-13F9AEB563F3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20% ses som fast och 80% som rörligt proportionellt till skördenivån</t>
        </r>
      </text>
    </comment>
    <comment ref="A121" authorId="0" shapeId="0" xr:uid="{1456C5BA-CC2E-4CFA-AB9F-0933BC47DB6C}">
      <text>
        <r>
          <rPr>
            <sz val="9"/>
            <color indexed="81"/>
            <rFont val="Tahoma"/>
            <family val="2"/>
          </rPr>
          <t xml:space="preserve">20% fast, 80% rörligt
</t>
        </r>
      </text>
    </comment>
    <comment ref="A134" authorId="0" shapeId="0" xr:uid="{0C92AF8B-2794-483F-AD86-A0054D637E25}">
      <text>
        <r>
          <rPr>
            <sz val="9"/>
            <color indexed="81"/>
            <rFont val="Tahoma"/>
            <family val="2"/>
          </rPr>
          <t xml:space="preserve">inkl. frakt
</t>
        </r>
      </text>
    </comment>
    <comment ref="E134" authorId="0" shapeId="0" xr:uid="{7BF3F6B4-3F47-47B5-8E68-C5FD5ED37196}">
      <text>
        <r>
          <rPr>
            <sz val="9"/>
            <color indexed="81"/>
            <rFont val="Tahoma"/>
            <family val="2"/>
          </rPr>
          <t xml:space="preserve">inkl. frakt
</t>
        </r>
      </text>
    </comment>
    <comment ref="A138" authorId="0" shapeId="0" xr:uid="{993A6E67-3658-4AF8-A1DF-51FDBBC2EC18}">
      <text>
        <r>
          <rPr>
            <sz val="9"/>
            <color indexed="81"/>
            <rFont val="Tahoma"/>
            <family val="2"/>
          </rPr>
          <t>inkl frakt</t>
        </r>
      </text>
    </comment>
    <comment ref="E138" authorId="0" shapeId="0" xr:uid="{EA9405AC-9953-44B4-A93E-BEC714257159}">
      <text>
        <r>
          <rPr>
            <sz val="9"/>
            <color indexed="81"/>
            <rFont val="Tahoma"/>
            <family val="2"/>
          </rPr>
          <t>inkl. frakt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Bengt</author>
  </authors>
  <commentList>
    <comment ref="A8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 tim i tyska kalkyl
10 tim i välskötta svenska ekoodlingar
</t>
        </r>
      </text>
    </comment>
    <comment ref="H91" authorId="1" shapeId="0" xr:uid="{00000000-0006-0000-0300-000002000000}">
      <text>
        <r>
          <rPr>
            <sz val="8"/>
            <color indexed="81"/>
            <rFont val="Tahoma"/>
            <family val="2"/>
          </rPr>
          <t xml:space="preserve">Marcus 19 bunt/tim
Moberg 30 bunt/tim
Datensammlung 60 bunt/tim
KTBL 80 bunt/tim
KTBL nätver 90 bunt/tim
Ringqvisr 25-45/tim
Normalskörd 4000 bunt/1000 m2
</t>
        </r>
      </text>
    </comment>
    <comment ref="A117" authorId="0" shapeId="0" xr:uid="{E06CDBBB-E610-43C6-AAFE-4C1179EA2772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20% ses som fast och 80% som rörligt proportionellt till skördenivån</t>
        </r>
      </text>
    </comment>
    <comment ref="A134" authorId="0" shapeId="0" xr:uid="{27EAEC19-E27F-40E5-AF74-A86848E782EA}">
      <text>
        <r>
          <rPr>
            <sz val="9"/>
            <color indexed="81"/>
            <rFont val="Tahoma"/>
            <family val="2"/>
          </rPr>
          <t xml:space="preserve">inkl. frakt
</t>
        </r>
      </text>
    </comment>
    <comment ref="E134" authorId="0" shapeId="0" xr:uid="{BD9706C2-796D-4C59-A87D-752C802B814C}">
      <text>
        <r>
          <rPr>
            <sz val="9"/>
            <color indexed="81"/>
            <rFont val="Tahoma"/>
            <family val="2"/>
          </rPr>
          <t xml:space="preserve">inkl. frakt
</t>
        </r>
      </text>
    </comment>
    <comment ref="A138" authorId="0" shapeId="0" xr:uid="{F9508DC2-4965-47CC-8E4F-D410A48FF081}">
      <text>
        <r>
          <rPr>
            <sz val="9"/>
            <color indexed="81"/>
            <rFont val="Tahoma"/>
            <family val="2"/>
          </rPr>
          <t>inkl frakt</t>
        </r>
      </text>
    </comment>
    <comment ref="E138" authorId="0" shapeId="0" xr:uid="{C4E27ED7-AF2A-4E69-AE8D-A55EA2C79985}">
      <text>
        <r>
          <rPr>
            <sz val="9"/>
            <color indexed="81"/>
            <rFont val="Tahoma"/>
            <family val="2"/>
          </rPr>
          <t>inkl. frakt</t>
        </r>
      </text>
    </comment>
    <comment ref="A148" authorId="0" shapeId="0" xr:uid="{6AE2D7E9-ECC1-43A7-92C0-7E85F4FD6787}">
      <text>
        <r>
          <rPr>
            <sz val="9"/>
            <color indexed="81"/>
            <rFont val="Tahoma"/>
            <family val="2"/>
          </rPr>
          <t>0,5 kg/bunt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Bengt</author>
    <author>Admin</author>
  </authors>
  <commentList>
    <comment ref="C16" authorId="0" shapeId="0" xr:uid="{AF0BFE12-EBC1-4BB8-A397-2521CB599CB6}">
      <text>
        <r>
          <rPr>
            <sz val="8"/>
            <color indexed="81"/>
            <rFont val="Tahoma"/>
            <family val="2"/>
          </rPr>
          <t>120 kg 14-21 vid 7,5 cm mellan lökarna
Marcus sätter 30 lök/m2
(30 kg på 250 m2)</t>
        </r>
      </text>
    </comment>
    <comment ref="H91" authorId="0" shapeId="0" xr:uid="{D011F18D-B34B-4E3B-A1F8-DB13699CB7D4}">
      <text>
        <r>
          <rPr>
            <sz val="8"/>
            <color indexed="81"/>
            <rFont val="Tahoma"/>
            <family val="2"/>
          </rPr>
          <t xml:space="preserve">Marcus 19 bunt/tim
Moberg 30 bunt/tim
Datensammlung 60 bunt/tim
KTBL 80 bunt/tim
för morot
</t>
        </r>
      </text>
    </comment>
    <comment ref="A117" authorId="1" shapeId="0" xr:uid="{73339C87-2D77-44A5-AC24-BA15DA06039D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20% ses som fast och 80% som rörligt proportionellt till skördenivån</t>
        </r>
      </text>
    </comment>
    <comment ref="A134" authorId="1" shapeId="0" xr:uid="{BCA73C1D-CDE9-468C-B6E8-C3D56DEA003C}">
      <text>
        <r>
          <rPr>
            <sz val="9"/>
            <color indexed="81"/>
            <rFont val="Tahoma"/>
            <family val="2"/>
          </rPr>
          <t xml:space="preserve">inkl. frakt
</t>
        </r>
      </text>
    </comment>
    <comment ref="E134" authorId="1" shapeId="0" xr:uid="{53CD38B1-847A-4714-B0A2-C08729396F65}">
      <text>
        <r>
          <rPr>
            <sz val="9"/>
            <color indexed="81"/>
            <rFont val="Tahoma"/>
            <family val="2"/>
          </rPr>
          <t xml:space="preserve">inkl. frakt
</t>
        </r>
      </text>
    </comment>
    <comment ref="A138" authorId="1" shapeId="0" xr:uid="{AE1317BF-AD04-4B92-BA99-791579ADFEEC}">
      <text>
        <r>
          <rPr>
            <sz val="9"/>
            <color indexed="81"/>
            <rFont val="Tahoma"/>
            <family val="2"/>
          </rPr>
          <t>inkl frakt</t>
        </r>
      </text>
    </comment>
    <comment ref="E138" authorId="1" shapeId="0" xr:uid="{A7B2113B-8A6B-464D-A9F8-078B3902CA22}">
      <text>
        <r>
          <rPr>
            <sz val="9"/>
            <color indexed="81"/>
            <rFont val="Tahoma"/>
            <family val="2"/>
          </rPr>
          <t>inkl. frakt</t>
        </r>
      </text>
    </comment>
    <comment ref="A148" authorId="1" shapeId="0" xr:uid="{6A09C6AA-46E3-4C90-9679-7D01BE4106B7}">
      <text>
        <r>
          <rPr>
            <sz val="9"/>
            <color indexed="81"/>
            <rFont val="Tahoma"/>
            <family val="2"/>
          </rPr>
          <t>0,5 kg/bunt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Bengt</author>
    <author>Admin</author>
  </authors>
  <commentList>
    <comment ref="C16" authorId="0" shapeId="0" xr:uid="{2D0CB0BC-50EE-4953-95B7-6C1558988186}">
      <text>
        <r>
          <rPr>
            <sz val="8"/>
            <color indexed="81"/>
            <rFont val="Tahoma"/>
            <family val="2"/>
          </rPr>
          <t xml:space="preserve">120 kg 14-21 vid 7 cm mellan lökarna
Marcus sätter 30 lök/m2
(30 kg på 250 m2)
</t>
        </r>
      </text>
    </comment>
    <comment ref="A87" authorId="1" shapeId="0" xr:uid="{68039C03-5C85-4D3D-A946-DEFAB0BC2C9A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 tim i tyska kalkyl
10 tim i välskötta svenska ekoodlingar
</t>
        </r>
      </text>
    </comment>
    <comment ref="H91" authorId="1" shapeId="0" xr:uid="{767D38C8-A918-4851-AA2A-6B428BE65ED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 20% fast 80% rörligt
Normalskörd 4
000 kg/1000m2
</t>
        </r>
      </text>
    </comment>
    <comment ref="A101" authorId="1" shapeId="0" xr:uid="{8FFE2E75-AAA8-462B-AAC4-805654C3B1D3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20% ses som fast och 80% som rörligt proportionellt till skördenivån</t>
        </r>
      </text>
    </comment>
    <comment ref="A134" authorId="1" shapeId="0" xr:uid="{7E65E4E3-EE0E-455B-A6C2-E9753E3AE285}">
      <text>
        <r>
          <rPr>
            <sz val="9"/>
            <color indexed="81"/>
            <rFont val="Tahoma"/>
            <family val="2"/>
          </rPr>
          <t xml:space="preserve">inkl. frakt
</t>
        </r>
      </text>
    </comment>
    <comment ref="E134" authorId="1" shapeId="0" xr:uid="{22D92709-49E8-466C-842C-1E65A22E91D7}">
      <text>
        <r>
          <rPr>
            <sz val="9"/>
            <color indexed="81"/>
            <rFont val="Tahoma"/>
            <family val="2"/>
          </rPr>
          <t xml:space="preserve">inkl. frakt
</t>
        </r>
      </text>
    </comment>
    <comment ref="A138" authorId="1" shapeId="0" xr:uid="{71334BBF-4400-49F5-9CEE-B41CC5146519}">
      <text>
        <r>
          <rPr>
            <sz val="9"/>
            <color indexed="81"/>
            <rFont val="Tahoma"/>
            <family val="2"/>
          </rPr>
          <t>inkl frakt</t>
        </r>
      </text>
    </comment>
    <comment ref="E138" authorId="1" shapeId="0" xr:uid="{D6DD7D32-56D7-4F59-91C9-BA9821F65E85}">
      <text>
        <r>
          <rPr>
            <sz val="9"/>
            <color indexed="81"/>
            <rFont val="Tahoma"/>
            <family val="2"/>
          </rPr>
          <t>inkl. frakt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91" authorId="0" shapeId="0" xr:uid="{444ECE4C-8898-4DDC-8B69-A33925D6EC6E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 20% fast 80% rörligt
Normalskörd 5000 kg/1000m2
</t>
        </r>
      </text>
    </comment>
    <comment ref="A101" authorId="0" shapeId="0" xr:uid="{87DF0D7A-9817-4732-9229-7A56BE4815A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20% ses som fast och 80% som rörligt proportionellt till skördenivån</t>
        </r>
      </text>
    </comment>
    <comment ref="A134" authorId="0" shapeId="0" xr:uid="{72B111EC-BA0F-4158-8A70-89712C02247C}">
      <text>
        <r>
          <rPr>
            <sz val="9"/>
            <color indexed="81"/>
            <rFont val="Tahoma"/>
            <family val="2"/>
          </rPr>
          <t xml:space="preserve">inkl. frakt
</t>
        </r>
      </text>
    </comment>
    <comment ref="E134" authorId="0" shapeId="0" xr:uid="{054D3B2C-BF6A-48F0-9D9B-EBA4B26E41B8}">
      <text>
        <r>
          <rPr>
            <sz val="9"/>
            <color indexed="81"/>
            <rFont val="Tahoma"/>
            <family val="2"/>
          </rPr>
          <t xml:space="preserve">inkl. frakt
</t>
        </r>
      </text>
    </comment>
    <comment ref="E138" authorId="0" shapeId="0" xr:uid="{C9B8182A-7692-4ECF-A275-67E33A3B1D84}">
      <text>
        <r>
          <rPr>
            <sz val="9"/>
            <color indexed="81"/>
            <rFont val="Tahoma"/>
            <family val="2"/>
          </rPr>
          <t>inkl. frakt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91" authorId="0" shapeId="0" xr:uid="{3DB55DB2-44FB-4B19-B5FC-113CA68235A2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 20% fast 80% rörligt
Normalskörd 5000 kg/1000m2
</t>
        </r>
      </text>
    </comment>
    <comment ref="A101" authorId="0" shapeId="0" xr:uid="{BC8BAFA2-1ABB-4626-9C22-BB8C02B29D3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20% ses som fast och 80% som rörligt proportionellt till skördenivån</t>
        </r>
      </text>
    </comment>
    <comment ref="A134" authorId="0" shapeId="0" xr:uid="{9B256E34-1C35-4B04-88CC-6E5CA4234DA8}">
      <text>
        <r>
          <rPr>
            <sz val="9"/>
            <color indexed="81"/>
            <rFont val="Tahoma"/>
            <family val="2"/>
          </rPr>
          <t xml:space="preserve">inkl. frakt
</t>
        </r>
      </text>
    </comment>
    <comment ref="E134" authorId="0" shapeId="0" xr:uid="{716EAAFF-4A0E-40EF-9217-8E4129CF9D32}">
      <text>
        <r>
          <rPr>
            <sz val="9"/>
            <color indexed="81"/>
            <rFont val="Tahoma"/>
            <family val="2"/>
          </rPr>
          <t xml:space="preserve">inkl. frakt
</t>
        </r>
      </text>
    </comment>
    <comment ref="E138" authorId="0" shapeId="0" xr:uid="{1EDA685A-B80B-49A6-9702-0443997BFC18}">
      <text>
        <r>
          <rPr>
            <sz val="9"/>
            <color indexed="81"/>
            <rFont val="Tahoma"/>
            <family val="2"/>
          </rPr>
          <t>inkl. frakt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87" authorId="0" shapeId="0" xr:uid="{3EAC1E54-B81E-42D4-99B2-3DABD8E28A69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 tim i tyska kalkyl
10 tim i välskötta svenska ekoodlingar
</t>
        </r>
      </text>
    </comment>
    <comment ref="A101" authorId="0" shapeId="0" xr:uid="{2B114BF8-60BA-44E4-80CA-68E7F341C77F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20% ses som fast och 80% som rörligt proportionellt till skördenivån</t>
        </r>
      </text>
    </comment>
    <comment ref="A134" authorId="0" shapeId="0" xr:uid="{37CF1189-9C50-4EE0-A07A-7C8AD5303E0D}">
      <text>
        <r>
          <rPr>
            <sz val="9"/>
            <color indexed="81"/>
            <rFont val="Tahoma"/>
            <family val="2"/>
          </rPr>
          <t xml:space="preserve">inkl. frakt
</t>
        </r>
      </text>
    </comment>
    <comment ref="E134" authorId="0" shapeId="0" xr:uid="{9B353B68-CDF3-4F0A-B6D1-60381B00CF64}">
      <text>
        <r>
          <rPr>
            <sz val="9"/>
            <color indexed="81"/>
            <rFont val="Tahoma"/>
            <family val="2"/>
          </rPr>
          <t xml:space="preserve">inkl. frakt
</t>
        </r>
      </text>
    </comment>
    <comment ref="A138" authorId="0" shapeId="0" xr:uid="{3FBA08C9-D88E-4F9E-8C4F-FA55CD1DFFD0}">
      <text>
        <r>
          <rPr>
            <sz val="9"/>
            <color indexed="81"/>
            <rFont val="Tahoma"/>
            <family val="2"/>
          </rPr>
          <t>inkl frakt</t>
        </r>
      </text>
    </comment>
    <comment ref="E138" authorId="0" shapeId="0" xr:uid="{EBBC4052-89D0-4F05-BD2D-7452ED3C18E3}">
      <text>
        <r>
          <rPr>
            <sz val="9"/>
            <color indexed="81"/>
            <rFont val="Tahoma"/>
            <family val="2"/>
          </rPr>
          <t>inkl. frakt</t>
        </r>
      </text>
    </comment>
    <comment ref="A147" authorId="0" shapeId="0" xr:uid="{E07D4F24-C8F4-4F4A-B5D9-791C97B71401}">
      <text>
        <r>
          <rPr>
            <sz val="9"/>
            <color indexed="81"/>
            <rFont val="Tahoma"/>
            <family val="2"/>
          </rPr>
          <t xml:space="preserve">Ballvoll: Bönor
</t>
        </r>
      </text>
    </comment>
  </commentList>
</comments>
</file>

<file path=xl/sharedStrings.xml><?xml version="1.0" encoding="utf-8"?>
<sst xmlns="http://schemas.openxmlformats.org/spreadsheetml/2006/main" count="2069" uniqueCount="430">
  <si>
    <t>Resultat</t>
  </si>
  <si>
    <t>Summa</t>
  </si>
  <si>
    <t>Omfattning:</t>
  </si>
  <si>
    <t>ha</t>
  </si>
  <si>
    <t>Skördenivå</t>
  </si>
  <si>
    <t xml:space="preserve">Intäkter          </t>
  </si>
  <si>
    <t>kvantitet</t>
  </si>
  <si>
    <t>summa</t>
  </si>
  <si>
    <t>Kg</t>
  </si>
  <si>
    <t>Särkostnader</t>
  </si>
  <si>
    <t>Arbete arealbundet</t>
  </si>
  <si>
    <t>tim</t>
  </si>
  <si>
    <t>st</t>
  </si>
  <si>
    <t>Fiberduk</t>
  </si>
  <si>
    <t>kg</t>
  </si>
  <si>
    <t>El bevattning</t>
  </si>
  <si>
    <t>kWh</t>
  </si>
  <si>
    <t>Div. arealbundet</t>
  </si>
  <si>
    <t>Ränta rörelsekapital</t>
  </si>
  <si>
    <t>Transport</t>
  </si>
  <si>
    <t>kr</t>
  </si>
  <si>
    <t>Täckningsbidrag</t>
  </si>
  <si>
    <t>Basmaskiner</t>
  </si>
  <si>
    <t>Specialmaskiner</t>
  </si>
  <si>
    <t>Bevattningsanläggn.</t>
  </si>
  <si>
    <t>Arrende/jorddränta</t>
  </si>
  <si>
    <t>Arbete och traktortimmar</t>
  </si>
  <si>
    <t>Moment</t>
  </si>
  <si>
    <t xml:space="preserve">Arbete </t>
  </si>
  <si>
    <t>Traktor</t>
  </si>
  <si>
    <t>Kommentar</t>
  </si>
  <si>
    <t>arealb.</t>
  </si>
  <si>
    <t>skördeb.</t>
  </si>
  <si>
    <t>Gödsling</t>
  </si>
  <si>
    <t>Bevattning</t>
  </si>
  <si>
    <t>Handrensning</t>
  </si>
  <si>
    <t>Skörd</t>
  </si>
  <si>
    <t>Odlingsareal</t>
  </si>
  <si>
    <t>%</t>
  </si>
  <si>
    <t>Årlig användningstid</t>
  </si>
  <si>
    <t>Inköpspris</t>
  </si>
  <si>
    <t>Återstående livslängd</t>
  </si>
  <si>
    <t>år</t>
  </si>
  <si>
    <t>Restvärde</t>
  </si>
  <si>
    <t>Räntesats</t>
  </si>
  <si>
    <t>Nypris</t>
  </si>
  <si>
    <t>Redskapskostnad</t>
  </si>
  <si>
    <t>Värdeminskning</t>
  </si>
  <si>
    <t>kr/tim</t>
  </si>
  <si>
    <t>Ränta</t>
  </si>
  <si>
    <t>Underhåll</t>
  </si>
  <si>
    <t>Kostnad per år</t>
  </si>
  <si>
    <t>Kostnad per ha och år</t>
  </si>
  <si>
    <t>Sådd</t>
  </si>
  <si>
    <t>Plantor</t>
  </si>
  <si>
    <t>Plantering</t>
  </si>
  <si>
    <t>Analyser</t>
  </si>
  <si>
    <t>Kyl</t>
  </si>
  <si>
    <t>El för kyl</t>
  </si>
  <si>
    <t>l</t>
  </si>
  <si>
    <t>Broccoli</t>
  </si>
  <si>
    <t>Miljöstöd</t>
  </si>
  <si>
    <t>Gröngödsling</t>
  </si>
  <si>
    <t>Stallgödsel</t>
  </si>
  <si>
    <t>Ogräsflamning</t>
  </si>
  <si>
    <t>Frö</t>
  </si>
  <si>
    <t>5 ggr</t>
  </si>
  <si>
    <t>Gröngödsel</t>
  </si>
  <si>
    <t>Säljbar lök</t>
  </si>
  <si>
    <t>Sättlök</t>
  </si>
  <si>
    <t>Sättning</t>
  </si>
  <si>
    <t>Sockerärt</t>
  </si>
  <si>
    <t>Nät och stolpar</t>
  </si>
  <si>
    <t>50 kW</t>
  </si>
  <si>
    <t>Plog+harvar+</t>
  </si>
  <si>
    <t>Buntlök</t>
  </si>
  <si>
    <t>Handredskap</t>
  </si>
  <si>
    <t>Morot</t>
  </si>
  <si>
    <t>Annuitetsfaktor</t>
  </si>
  <si>
    <t>Årskostnad</t>
  </si>
  <si>
    <t>Brytböna</t>
  </si>
  <si>
    <t>Säljbara bönor</t>
  </si>
  <si>
    <t>Jordbearbetning</t>
  </si>
  <si>
    <t>Skörd (kg N)</t>
  </si>
  <si>
    <t>Vecka</t>
  </si>
  <si>
    <t>Jordbearb</t>
  </si>
  <si>
    <t>Väv</t>
  </si>
  <si>
    <t>Vattning</t>
  </si>
  <si>
    <t>Sprutning</t>
  </si>
  <si>
    <t>Div</t>
  </si>
  <si>
    <t>totalt (tim)</t>
  </si>
  <si>
    <t>Kostnad per 1000 m2 grönsaker</t>
  </si>
  <si>
    <t>Flamning</t>
  </si>
  <si>
    <t>Sortering</t>
  </si>
  <si>
    <t>vintern</t>
  </si>
  <si>
    <t>Hackning</t>
  </si>
  <si>
    <t>Säljbar andel</t>
  </si>
  <si>
    <t>Hand-</t>
  </si>
  <si>
    <t>hackn</t>
  </si>
  <si>
    <t>Typföretag 1</t>
  </si>
  <si>
    <t>Gasol för flamning</t>
  </si>
  <si>
    <t>Tabell 3. Kalkyl</t>
  </si>
  <si>
    <t>Tabell 10. Kalkyl</t>
  </si>
  <si>
    <t>Maskin- och byggnadskostnader             Typföretag 1</t>
  </si>
  <si>
    <t>Areal</t>
  </si>
  <si>
    <t>Diverse</t>
  </si>
  <si>
    <t>Ta bort denna rad före layout</t>
  </si>
  <si>
    <t>Värdeminskning per år</t>
  </si>
  <si>
    <t>Underhåll per 1000 kr nypris</t>
  </si>
  <si>
    <t>inkl. flammare, 
spruta, såmaskin</t>
  </si>
  <si>
    <t>vagn, beg. traktorredskap</t>
  </si>
  <si>
    <t>Underhållskostnad per år</t>
  </si>
  <si>
    <t>Inhyrd tjänst</t>
  </si>
  <si>
    <t>bunt/1000 m2 (5-7 lökar per bunt)</t>
  </si>
  <si>
    <t>Typföretag 1. Liten odling, många grödor</t>
  </si>
  <si>
    <t>á-pris</t>
  </si>
  <si>
    <t>Självkostnadspris</t>
  </si>
  <si>
    <t>Summa särkostnader</t>
  </si>
  <si>
    <t>Summa Intäkter</t>
  </si>
  <si>
    <t>Drivmedel traktor arealbundet</t>
  </si>
  <si>
    <t>låda</t>
  </si>
  <si>
    <t>Administration</t>
  </si>
  <si>
    <t>enhet</t>
  </si>
  <si>
    <t>Summa redskapskostnad</t>
  </si>
  <si>
    <t>kommentar</t>
  </si>
  <si>
    <t>tim/1000 m2</t>
  </si>
  <si>
    <t>4 ggr</t>
  </si>
  <si>
    <t>Övrigt arealbundet</t>
  </si>
  <si>
    <t>Sortering och packning</t>
  </si>
  <si>
    <t>Rad-</t>
  </si>
  <si>
    <t>rensning</t>
  </si>
  <si>
    <t>Transport och försäljning</t>
  </si>
  <si>
    <t>Kostnad per delmoment</t>
  </si>
  <si>
    <t>kr/kg</t>
  </si>
  <si>
    <t>Försäljningskostnader</t>
  </si>
  <si>
    <t>Drivmedel traktor</t>
  </si>
  <si>
    <t>Summa fältmaskiner per ha och år</t>
  </si>
  <si>
    <t>i befintlig 
lokal</t>
  </si>
  <si>
    <t>250 kg/tim, lösvikt</t>
  </si>
  <si>
    <t>Schablon, se text</t>
  </si>
  <si>
    <t xml:space="preserve">Figur 2. </t>
  </si>
  <si>
    <t>Figur 2</t>
  </si>
  <si>
    <t>storlek 14-21 mm. 30 000 lökar</t>
  </si>
  <si>
    <t>Tabell 11</t>
  </si>
  <si>
    <t>Ny begagnad</t>
  </si>
  <si>
    <t>Ny</t>
  </si>
  <si>
    <t>Beg</t>
  </si>
  <si>
    <t>Arbetsbehov per vecka</t>
  </si>
  <si>
    <t>Redskapsbärare</t>
  </si>
  <si>
    <t xml:space="preserve">Rotgrönsaker i bunt </t>
  </si>
  <si>
    <t>(morötter, palsternackor, rödbetor)</t>
  </si>
  <si>
    <t>Lök från sättlök</t>
  </si>
  <si>
    <t>Grönsakskalkyler grunduppgifter</t>
  </si>
  <si>
    <t>Kulturer</t>
  </si>
  <si>
    <t>Bruttoskörd</t>
  </si>
  <si>
    <t>Säljbart</t>
  </si>
  <si>
    <t>Totalskörd</t>
  </si>
  <si>
    <t>Intäkter</t>
  </si>
  <si>
    <t>Odl.kostn</t>
  </si>
  <si>
    <t>Skördekostn</t>
  </si>
  <si>
    <t>Lagringskostn</t>
  </si>
  <si>
    <t>Packningskostn</t>
  </si>
  <si>
    <t>Broccoli eko</t>
  </si>
  <si>
    <t>Vitkål eko</t>
  </si>
  <si>
    <t>Övriga grödor (lantbruk)</t>
  </si>
  <si>
    <t>Summa areal</t>
  </si>
  <si>
    <t>Varav grönsaker</t>
  </si>
  <si>
    <t>Prisuppgifter</t>
  </si>
  <si>
    <t>Arbete</t>
  </si>
  <si>
    <t>*</t>
  </si>
  <si>
    <t>Arbete, okvalificerat - B1</t>
  </si>
  <si>
    <t>Material</t>
  </si>
  <si>
    <t>Traktordrivmedel</t>
  </si>
  <si>
    <t>El</t>
  </si>
  <si>
    <t>kr/kWh</t>
  </si>
  <si>
    <t>Gasol</t>
  </si>
  <si>
    <t>20 öre/kg 2019 i ekoodlingar</t>
  </si>
  <si>
    <t>Kalimagnesia 25-6</t>
  </si>
  <si>
    <t>Oorganiska specialgödselmedel</t>
  </si>
  <si>
    <t>Conserve</t>
  </si>
  <si>
    <t>kr/l</t>
  </si>
  <si>
    <t>Besprutning i plantuppdragningen (Egnahem tar 0.12 Kr/planta)</t>
  </si>
  <si>
    <t>saknas i Frans lista</t>
  </si>
  <si>
    <t>Kumulus DF</t>
  </si>
  <si>
    <t>Serenade</t>
  </si>
  <si>
    <t>Turex 50 WP</t>
  </si>
  <si>
    <t xml:space="preserve">NeemAzal-T/S </t>
  </si>
  <si>
    <t>kr/st</t>
  </si>
  <si>
    <t>Lagerlådor</t>
  </si>
  <si>
    <t>Plastpåsar (1 kg) tejp etiketter</t>
  </si>
  <si>
    <t>Frakt på gödselmedel</t>
  </si>
  <si>
    <t>Frakt på bekämpningsmedel</t>
  </si>
  <si>
    <t>Backar/pall</t>
  </si>
  <si>
    <t>Returbackar hellåda hög</t>
  </si>
  <si>
    <t>kr/gång inkl ränta</t>
  </si>
  <si>
    <t>Returbackar hellåda medel</t>
  </si>
  <si>
    <t>Returbackar hellåda låg</t>
  </si>
  <si>
    <t>Returbackar halvlåda hög</t>
  </si>
  <si>
    <t>Returbackar halvlåda medel</t>
  </si>
  <si>
    <t>Returbackar halvlåda låg</t>
  </si>
  <si>
    <t>Fraktkostnad</t>
  </si>
  <si>
    <t>Arrende/markkostnad</t>
  </si>
  <si>
    <t>kr/ha</t>
  </si>
  <si>
    <t>Miljöstöd grönsaker</t>
  </si>
  <si>
    <t>Miljöstöd lantbruk</t>
  </si>
  <si>
    <t>Certifiering odling</t>
  </si>
  <si>
    <t>kr/år</t>
  </si>
  <si>
    <t>Kiwa EU: &lt;20 ha, 3950, &lt;50ha, 5150, &lt;100 ha 6000, &lt;300ha, 6650</t>
  </si>
  <si>
    <t>Kiwa Krav: &lt;20 4500, &lt;50 5650, &lt;100 6450, &lt;300 7050</t>
  </si>
  <si>
    <t>Räkna med 5000, 6000 , och 7000</t>
  </si>
  <si>
    <t>Certifiering packeri</t>
  </si>
  <si>
    <t>9600 kravpackeri typ3, 2500 mindre omfattning typ2, 0 kr typ 3</t>
  </si>
  <si>
    <t>Kravavgift tillkommer separat</t>
  </si>
  <si>
    <t>Om man bara säljer egna produkter ingår gårdsbutik i certifiering</t>
  </si>
  <si>
    <t>Kolla Johans mail om Kiwas priser</t>
  </si>
  <si>
    <t>Företagsledning</t>
  </si>
  <si>
    <t>Ränta byggnader</t>
  </si>
  <si>
    <t>Ränta maskiner</t>
  </si>
  <si>
    <t>Eko typ 1</t>
  </si>
  <si>
    <t>Tabell xx. Kalkyl</t>
  </si>
  <si>
    <t>Odling</t>
  </si>
  <si>
    <t>Arbete, kvalificerat</t>
  </si>
  <si>
    <t>Arbete, okvalificerat</t>
  </si>
  <si>
    <t>ggr</t>
  </si>
  <si>
    <t>Summa rörliga odlingskostnader</t>
  </si>
  <si>
    <t>Byggnader (Maskinhall)</t>
  </si>
  <si>
    <t>Summa fasta odlingskostnader</t>
  </si>
  <si>
    <t>Summa odlingskostnader</t>
  </si>
  <si>
    <t>Skördemaskiner</t>
  </si>
  <si>
    <t>Drivmedel traktor skörd.</t>
  </si>
  <si>
    <t>Summa skördekostnader</t>
  </si>
  <si>
    <t>Lagring</t>
  </si>
  <si>
    <t>Arbete lagring</t>
  </si>
  <si>
    <t>Lagerbyggnad</t>
  </si>
  <si>
    <t>Summa lagringskostnader</t>
  </si>
  <si>
    <t>Packning</t>
  </si>
  <si>
    <t>Packeri och kyl</t>
  </si>
  <si>
    <t>El för packeri</t>
  </si>
  <si>
    <t>Summa packningskostnader</t>
  </si>
  <si>
    <t>Summa försäljningskostnader</t>
  </si>
  <si>
    <t>Summa produktions- och försäljningskostnader</t>
  </si>
  <si>
    <t>Allmänna omkostnader</t>
  </si>
  <si>
    <t>Summa allmänna omkostnader</t>
  </si>
  <si>
    <t>Arbetstimmar och traktortimmar (tim/ha)</t>
  </si>
  <si>
    <t>Okvalificerat</t>
  </si>
  <si>
    <t>Kvalificerat</t>
  </si>
  <si>
    <t>tim/ha</t>
  </si>
  <si>
    <t>Vävtäckning</t>
  </si>
  <si>
    <t>Radhackning/kupning</t>
  </si>
  <si>
    <t>S:a odlingsbundet arbete</t>
  </si>
  <si>
    <t xml:space="preserve">Skörd </t>
  </si>
  <si>
    <t>Summa timmar</t>
  </si>
  <si>
    <t>kr/kg exkl.adm.</t>
  </si>
  <si>
    <t>kr/kg inkl.adm.</t>
  </si>
  <si>
    <t>Fasta odlingskostnader</t>
  </si>
  <si>
    <t>Avvikelse från kalkyl</t>
  </si>
  <si>
    <t>Arbetsbehov</t>
  </si>
  <si>
    <t>ton/ha</t>
  </si>
  <si>
    <t>Skördearbete, traktor</t>
  </si>
  <si>
    <t>Försäljning</t>
  </si>
  <si>
    <t>Summa skördebundet</t>
  </si>
  <si>
    <t>Totala kostnader</t>
  </si>
  <si>
    <t>Specifikation av gödslings- och bekämpningsmedel</t>
  </si>
  <si>
    <t xml:space="preserve">mängd </t>
  </si>
  <si>
    <t>summa inkl. frakt</t>
  </si>
  <si>
    <t>Säljbara morötter</t>
  </si>
  <si>
    <t>fpn</t>
  </si>
  <si>
    <t>Tvätt/sortering/packlinje</t>
  </si>
  <si>
    <t>Plastpåsar tejp etiketter (1 kg/påse)</t>
  </si>
  <si>
    <t>påse</t>
  </si>
  <si>
    <t>4 omgångar</t>
  </si>
  <si>
    <t>kg/1000 m²</t>
  </si>
  <si>
    <t>Se nedan och Figur 7</t>
  </si>
  <si>
    <t>Se tabell 28</t>
  </si>
  <si>
    <t>Organiska specialgödselmedel</t>
  </si>
  <si>
    <t>Bekämpningsmedel</t>
  </si>
  <si>
    <t xml:space="preserve">Maskiner </t>
  </si>
  <si>
    <t>1 gång</t>
  </si>
  <si>
    <t>Odling justerat för miljöstöd</t>
  </si>
  <si>
    <t>S:a Organiska specialgödselmedel</t>
  </si>
  <si>
    <t>S:a Oorganiska specialgödselmedel</t>
  </si>
  <si>
    <t>S:a Bekämpningsmedel</t>
  </si>
  <si>
    <t>Figur xx. Ekologisk morot - Känslighetsanalys - arbetsbehov. Typföretag 1</t>
  </si>
  <si>
    <t>m²</t>
  </si>
  <si>
    <t>tim/1000 m²</t>
  </si>
  <si>
    <t>Byggnader</t>
  </si>
  <si>
    <t>Befintliga byggnader</t>
  </si>
  <si>
    <t>Returlådor (egna)</t>
  </si>
  <si>
    <t>bunt/1000 m²</t>
  </si>
  <si>
    <t>enh./1000 m²</t>
  </si>
  <si>
    <t>Morot (kg)</t>
  </si>
  <si>
    <t>Buntmorot (buntar)</t>
  </si>
  <si>
    <t>enheter</t>
  </si>
  <si>
    <t>bunt</t>
  </si>
  <si>
    <t>kr/enhet</t>
  </si>
  <si>
    <t>(1 tim sprutning 2008, men ingen bekämpning!)</t>
  </si>
  <si>
    <t>Konsekvent räknad</t>
  </si>
  <si>
    <t>Buntlök från sättlök</t>
  </si>
  <si>
    <t>Returlådor (egna, 15 bunt/låda)</t>
  </si>
  <si>
    <t>120 kg/tim per person</t>
  </si>
  <si>
    <t>Returlådor (egna, 15 kg/låda)</t>
  </si>
  <si>
    <t>Figur xx. Ekologisk planterad lök - Känslighetsanalys - arbetsbehov. Typföretag 1</t>
  </si>
  <si>
    <t>25 kg/tim per person</t>
  </si>
  <si>
    <t>Returlådor (egna, 6kg/låda)</t>
  </si>
  <si>
    <t>Vitkål</t>
  </si>
  <si>
    <t>200 kg/tim per person</t>
  </si>
  <si>
    <t>Figur xx. Ekologisk brytböna - Känslighetsanalys - arbetsbehov. Typföretag 1</t>
  </si>
  <si>
    <t>Säljbar vitkål</t>
  </si>
  <si>
    <t>Returlådor (egna, 10 kg/låda)</t>
  </si>
  <si>
    <t>Figur xx. Ekologisk sockerärt - Känslighetsanalys - arbetsbehov. Typföretag 1</t>
  </si>
  <si>
    <t>3 kg/tim per person</t>
  </si>
  <si>
    <t>m</t>
  </si>
  <si>
    <t>Kalkyler 2008</t>
  </si>
  <si>
    <t>Skillnad</t>
  </si>
  <si>
    <t>kg/1000 m2</t>
  </si>
  <si>
    <t>Sådd/Plantering</t>
  </si>
  <si>
    <t>Tyska kalkyler KTBL</t>
  </si>
  <si>
    <t>Plantantal</t>
  </si>
  <si>
    <t>Plantpris (Euro)</t>
  </si>
  <si>
    <t>Produktpris (Euro/ton)</t>
  </si>
  <si>
    <t>Säsongsarbete</t>
  </si>
  <si>
    <t>Fast anställda</t>
  </si>
  <si>
    <t>S:a arbete</t>
  </si>
  <si>
    <t>därav plantering</t>
  </si>
  <si>
    <t>ogräsrensning</t>
  </si>
  <si>
    <t>skörd</t>
  </si>
  <si>
    <t>packning</t>
  </si>
  <si>
    <t xml:space="preserve">Morot Eko </t>
  </si>
  <si>
    <t>Bunt-morötter</t>
  </si>
  <si>
    <t xml:space="preserve">Plantlök Eko </t>
  </si>
  <si>
    <t xml:space="preserve">Broccoli Eko </t>
  </si>
  <si>
    <t>glömt?</t>
  </si>
  <si>
    <t>Vitkål sommar</t>
  </si>
  <si>
    <t>Ringqvist</t>
  </si>
  <si>
    <t>pris ex moms</t>
  </si>
  <si>
    <t>Jfr 2019</t>
  </si>
  <si>
    <t>Jfr 2019 %</t>
  </si>
  <si>
    <t>Jfr oss</t>
  </si>
  <si>
    <t>Jfr oss %</t>
  </si>
  <si>
    <t xml:space="preserve">Broccoli </t>
  </si>
  <si>
    <t xml:space="preserve">Vitkål </t>
  </si>
  <si>
    <t>Handdriven med tillbehör</t>
  </si>
  <si>
    <t>Biofer 10-3-1</t>
  </si>
  <si>
    <t>Enligt Maskinkostnader 2019</t>
  </si>
  <si>
    <t>DiPel DF</t>
  </si>
  <si>
    <t>Växtnäringsinnehåll (%)</t>
  </si>
  <si>
    <t>Hönsgödsel</t>
  </si>
  <si>
    <t>11-5-18</t>
  </si>
  <si>
    <t>NK 20-15</t>
  </si>
  <si>
    <t>Kalimagn</t>
  </si>
  <si>
    <t>Kalksalp</t>
  </si>
  <si>
    <t>N27</t>
  </si>
  <si>
    <t>Biofer 9-3-4</t>
  </si>
  <si>
    <t>Biofer 6-3-12</t>
  </si>
  <si>
    <t>N</t>
  </si>
  <si>
    <t>P</t>
  </si>
  <si>
    <t>K</t>
  </si>
  <si>
    <t>S</t>
  </si>
  <si>
    <t>Motot</t>
  </si>
  <si>
    <t>Gröngödsel  (kväveeffekt %)</t>
  </si>
  <si>
    <t>Växtnäringsbalans</t>
  </si>
  <si>
    <t>Bortförsel med gröda (kg/ton)</t>
  </si>
  <si>
    <t>Bortförsel med aktuell skörd</t>
  </si>
  <si>
    <t>Tillförsel</t>
  </si>
  <si>
    <t xml:space="preserve">Biofer 6-3-12 </t>
  </si>
  <si>
    <t>Gröngödselgröda</t>
  </si>
  <si>
    <t>S:a tillförsel</t>
  </si>
  <si>
    <t>Balans</t>
  </si>
  <si>
    <t xml:space="preserve">Biofer 10-3-1 </t>
  </si>
  <si>
    <t>191018 Lantmännen</t>
  </si>
  <si>
    <t>Buntmorot</t>
  </si>
  <si>
    <t>kr/ m²</t>
  </si>
  <si>
    <t>Stallgödsel (kg/1000  m²)</t>
  </si>
  <si>
    <t>Hönsgödsel (kg/1000  m²)</t>
  </si>
  <si>
    <t>NPK 11-5-18 (kg/1000  m²)</t>
  </si>
  <si>
    <t>NK 20-15 (kg/1000  m²)</t>
  </si>
  <si>
    <t>Kalimagnesia (kg/1000  m²)</t>
  </si>
  <si>
    <t>Kalksalpeter (kg/1000  m²)</t>
  </si>
  <si>
    <t>N27 (kg/1000  m²)</t>
  </si>
  <si>
    <t>Biofer 10-3-1 (kg/1000  m²)</t>
  </si>
  <si>
    <t>Biofer 9-3-4 (kg/1000  m²)</t>
  </si>
  <si>
    <t>Biofer 6-3-12 (kg/1000  m²)</t>
  </si>
  <si>
    <t>Kvävebalans (kg/1000  m²)</t>
  </si>
  <si>
    <t>Fosforbalans (kg/1000  m²)</t>
  </si>
  <si>
    <t>Kalibalans (kg/1000  m²)</t>
  </si>
  <si>
    <t xml:space="preserve">Bortförsel med gröda (kg/ton)  </t>
  </si>
  <si>
    <t>Gröngödselkostnad fördelas på två grönsaksgrödor</t>
  </si>
  <si>
    <t>Säljbar broccoli</t>
  </si>
  <si>
    <t>Säljbara ärtor</t>
  </si>
  <si>
    <t>Frö (á 100 000 frön)</t>
  </si>
  <si>
    <t>Ta bort</t>
  </si>
  <si>
    <t>El för+A56:A57 packeri</t>
  </si>
  <si>
    <t>Plastpåsar tejp etiketter</t>
  </si>
  <si>
    <t>150 kg/tim per person</t>
  </si>
  <si>
    <t>Företagets åkerareal</t>
  </si>
  <si>
    <t>Fröblandning</t>
  </si>
  <si>
    <t>Rödklöver</t>
  </si>
  <si>
    <t>Persisk klöver</t>
  </si>
  <si>
    <t>Havre eko</t>
  </si>
  <si>
    <t>Certifieringsavgift</t>
  </si>
  <si>
    <t xml:space="preserve">Certifieringsavgift </t>
  </si>
  <si>
    <t>30 bunt/tim</t>
  </si>
  <si>
    <t>6-8 ggr</t>
  </si>
  <si>
    <t>För hand 1200 sättlökar/tim</t>
  </si>
  <si>
    <t>Radhackning</t>
  </si>
  <si>
    <t>Väv används 2 ggr</t>
  </si>
  <si>
    <t>Den första omgången täcks</t>
  </si>
  <si>
    <t>Storlek 10-14 mm. 30 000 lökar</t>
  </si>
  <si>
    <t>80 kg/tim per person</t>
  </si>
  <si>
    <t>Handhackning</t>
  </si>
  <si>
    <t>250 plantor/tim</t>
  </si>
  <si>
    <t>två av fem omgångar täcks. Väven används 2 ggr</t>
  </si>
  <si>
    <t>inkl påsar för förankring (1 kr/st/år)</t>
  </si>
  <si>
    <t>Försäljningsarbete</t>
  </si>
  <si>
    <t>8 kg/tim per person</t>
  </si>
  <si>
    <t>tim/1000  m²</t>
  </si>
  <si>
    <t>Arbete, arbetande förman</t>
  </si>
  <si>
    <t>Följande tas ej med i skriften</t>
  </si>
  <si>
    <t>Administrationskostnader</t>
  </si>
  <si>
    <t>Certifieringsavgifter (100 ha)</t>
  </si>
  <si>
    <t>Övriga byggnader</t>
  </si>
  <si>
    <t>Utsäde</t>
  </si>
  <si>
    <t>Typföretag 3</t>
  </si>
  <si>
    <t>Lantbruksgrödor</t>
  </si>
  <si>
    <t>Summa Allmänna omkostnader</t>
  </si>
  <si>
    <t>Summa produktionskostnad</t>
  </si>
  <si>
    <t>kr/bunt inkl.adm.</t>
  </si>
  <si>
    <t>Gul lök</t>
  </si>
  <si>
    <t>Såld skörd (kg,bunt)</t>
  </si>
  <si>
    <t>kr/1000 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</si>
</sst>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k_r_-;\-* #,##0.00\ _k_r_-;_-* &quot;-&quot;??\ _k_r_-;_-@_-"/>
    <numFmt numFmtId="165" formatCode="_(&quot;$&quot;* #,##0_);_(&quot;$&quot;* \(#,##0\);_(&quot;$&quot;* &quot;-&quot;_);_(@_)"/>
    <numFmt numFmtId="166" formatCode="_(* #,##0_);_(* \(#,##0\);_(* &quot;-&quot;_);_(@_)"/>
    <numFmt numFmtId="167" formatCode="0.0000"/>
    <numFmt numFmtId="168" formatCode="0.000"/>
    <numFmt numFmtId="169" formatCode="0.0"/>
    <numFmt numFmtId="170" formatCode="0.0%"/>
    <numFmt numFmtId="171" formatCode="#,##0.0"/>
    <numFmt numFmtId="172" formatCode="#,##0.000"/>
  </numFmts>
  <fonts count="26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0"/>
      <color indexed="63"/>
      <name val="Arial"/>
      <family val="2"/>
    </font>
    <font>
      <i/>
      <sz val="10"/>
      <color indexed="63"/>
      <name val="Arial"/>
      <family val="2"/>
    </font>
    <font>
      <b/>
      <sz val="10"/>
      <color indexed="6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rgb="FF000000"/>
      <name val="Calibri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i/>
      <sz val="10"/>
      <color indexed="2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/>
    <xf numFmtId="9" fontId="0" fillId="0" borderId="0" xfId="0" applyNumberFormat="1"/>
    <xf numFmtId="0" fontId="4" fillId="0" borderId="0" xfId="0" applyFont="1"/>
    <xf numFmtId="2" fontId="0" fillId="0" borderId="0" xfId="0" applyNumberForma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1" fontId="0" fillId="0" borderId="0" xfId="0" applyNumberFormat="1"/>
    <xf numFmtId="0" fontId="4" fillId="0" borderId="0" xfId="0" applyFont="1" applyAlignment="1">
      <alignment horizontal="right"/>
    </xf>
    <xf numFmtId="0" fontId="0" fillId="0" borderId="0" xfId="0" quotePrefix="1"/>
    <xf numFmtId="2" fontId="3" fillId="0" borderId="0" xfId="2" applyNumberFormat="1"/>
    <xf numFmtId="3" fontId="0" fillId="0" borderId="0" xfId="0" applyNumberFormat="1"/>
    <xf numFmtId="169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Fill="1"/>
    <xf numFmtId="0" fontId="0" fillId="0" borderId="0" xfId="0" applyFill="1"/>
    <xf numFmtId="2" fontId="0" fillId="0" borderId="0" xfId="0" applyNumberFormat="1" applyFill="1"/>
    <xf numFmtId="1" fontId="0" fillId="0" borderId="0" xfId="0" applyNumberFormat="1" applyFill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3" fontId="0" fillId="0" borderId="1" xfId="0" applyNumberFormat="1" applyBorder="1"/>
    <xf numFmtId="9" fontId="0" fillId="0" borderId="1" xfId="0" applyNumberFormat="1" applyBorder="1"/>
    <xf numFmtId="1" fontId="0" fillId="0" borderId="1" xfId="0" applyNumberFormat="1" applyBorder="1"/>
    <xf numFmtId="0" fontId="3" fillId="0" borderId="1" xfId="0" applyFont="1" applyBorder="1"/>
    <xf numFmtId="0" fontId="6" fillId="0" borderId="1" xfId="0" applyFont="1" applyBorder="1"/>
    <xf numFmtId="2" fontId="0" fillId="0" borderId="1" xfId="0" applyNumberFormat="1" applyBorder="1"/>
    <xf numFmtId="0" fontId="5" fillId="0" borderId="1" xfId="0" applyFont="1" applyBorder="1"/>
    <xf numFmtId="169" fontId="6" fillId="0" borderId="0" xfId="0" applyNumberFormat="1" applyFont="1"/>
    <xf numFmtId="0" fontId="10" fillId="0" borderId="0" xfId="0" applyFont="1"/>
    <xf numFmtId="3" fontId="3" fillId="0" borderId="1" xfId="2" applyNumberFormat="1" applyBorder="1"/>
    <xf numFmtId="0" fontId="0" fillId="0" borderId="0" xfId="0" applyBorder="1" applyAlignment="1">
      <alignment horizontal="left"/>
    </xf>
    <xf numFmtId="1" fontId="10" fillId="0" borderId="0" xfId="0" applyNumberFormat="1" applyFont="1"/>
    <xf numFmtId="3" fontId="6" fillId="0" borderId="0" xfId="2" applyNumberFormat="1" applyFont="1"/>
    <xf numFmtId="3" fontId="6" fillId="0" borderId="0" xfId="0" applyNumberFormat="1" applyFont="1"/>
    <xf numFmtId="0" fontId="11" fillId="0" borderId="0" xfId="0" applyFont="1"/>
    <xf numFmtId="0" fontId="10" fillId="0" borderId="1" xfId="0" applyFont="1" applyBorder="1"/>
    <xf numFmtId="3" fontId="10" fillId="0" borderId="1" xfId="2" applyNumberFormat="1" applyFont="1" applyBorder="1"/>
    <xf numFmtId="3" fontId="10" fillId="0" borderId="1" xfId="0" applyNumberFormat="1" applyFont="1" applyBorder="1"/>
    <xf numFmtId="2" fontId="6" fillId="0" borderId="0" xfId="0" applyNumberFormat="1" applyFont="1"/>
    <xf numFmtId="1" fontId="6" fillId="0" borderId="0" xfId="0" applyNumberFormat="1" applyFont="1"/>
    <xf numFmtId="0" fontId="13" fillId="0" borderId="0" xfId="0" applyFont="1"/>
    <xf numFmtId="0" fontId="10" fillId="0" borderId="0" xfId="0" applyFont="1" applyFill="1"/>
    <xf numFmtId="3" fontId="6" fillId="0" borderId="0" xfId="0" applyNumberFormat="1" applyFont="1" applyFill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4" fillId="0" borderId="1" xfId="0" applyFont="1" applyBorder="1"/>
    <xf numFmtId="3" fontId="6" fillId="0" borderId="1" xfId="0" applyNumberFormat="1" applyFont="1" applyBorder="1"/>
    <xf numFmtId="0" fontId="8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6" fillId="0" borderId="2" xfId="0" applyFont="1" applyBorder="1"/>
    <xf numFmtId="3" fontId="0" fillId="0" borderId="1" xfId="0" applyNumberFormat="1" applyFill="1" applyBorder="1"/>
    <xf numFmtId="0" fontId="0" fillId="0" borderId="1" xfId="0" applyFill="1" applyBorder="1"/>
    <xf numFmtId="9" fontId="0" fillId="0" borderId="1" xfId="0" applyNumberFormat="1" applyFill="1" applyBorder="1"/>
    <xf numFmtId="0" fontId="0" fillId="0" borderId="0" xfId="0" applyAlignment="1">
      <alignment horizontal="left"/>
    </xf>
    <xf numFmtId="0" fontId="14" fillId="0" borderId="0" xfId="0" applyFont="1"/>
    <xf numFmtId="1" fontId="14" fillId="0" borderId="0" xfId="0" applyNumberFormat="1" applyFont="1"/>
    <xf numFmtId="0" fontId="15" fillId="0" borderId="0" xfId="0" applyFont="1" applyFill="1"/>
    <xf numFmtId="0" fontId="16" fillId="0" borderId="1" xfId="0" applyFont="1" applyBorder="1"/>
    <xf numFmtId="0" fontId="14" fillId="0" borderId="1" xfId="0" applyFont="1" applyBorder="1"/>
    <xf numFmtId="0" fontId="14" fillId="0" borderId="0" xfId="0" applyFont="1" applyBorder="1"/>
    <xf numFmtId="0" fontId="15" fillId="0" borderId="0" xfId="0" applyFont="1"/>
    <xf numFmtId="0" fontId="14" fillId="0" borderId="0" xfId="0" applyFont="1" applyAlignment="1">
      <alignment horizontal="right"/>
    </xf>
    <xf numFmtId="0" fontId="14" fillId="0" borderId="1" xfId="0" applyFont="1" applyBorder="1" applyAlignment="1">
      <alignment horizontal="right"/>
    </xf>
    <xf numFmtId="0" fontId="16" fillId="0" borderId="0" xfId="0" applyFont="1"/>
    <xf numFmtId="0" fontId="16" fillId="0" borderId="0" xfId="0" applyFont="1" applyBorder="1"/>
    <xf numFmtId="2" fontId="3" fillId="0" borderId="1" xfId="2" applyNumberFormat="1" applyBorder="1"/>
    <xf numFmtId="2" fontId="5" fillId="0" borderId="0" xfId="2" applyNumberFormat="1" applyFont="1"/>
    <xf numFmtId="169" fontId="10" fillId="0" borderId="0" xfId="0" applyNumberFormat="1" applyFont="1"/>
    <xf numFmtId="169" fontId="0" fillId="0" borderId="1" xfId="0" applyNumberFormat="1" applyBorder="1"/>
    <xf numFmtId="9" fontId="0" fillId="0" borderId="0" xfId="0" applyNumberFormat="1" applyFill="1"/>
    <xf numFmtId="1" fontId="0" fillId="0" borderId="1" xfId="0" applyNumberFormat="1" applyFill="1" applyBorder="1"/>
    <xf numFmtId="0" fontId="3" fillId="0" borderId="0" xfId="0" applyFont="1" applyFill="1"/>
    <xf numFmtId="3" fontId="6" fillId="2" borderId="0" xfId="2" applyNumberFormat="1" applyFont="1" applyFill="1"/>
    <xf numFmtId="0" fontId="11" fillId="0" borderId="1" xfId="0" applyFont="1" applyBorder="1" applyAlignment="1">
      <alignment horizontal="right" vertical="top"/>
    </xf>
    <xf numFmtId="0" fontId="1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wrapText="1"/>
    </xf>
    <xf numFmtId="2" fontId="5" fillId="0" borderId="0" xfId="0" applyNumberFormat="1" applyFont="1" applyFill="1"/>
    <xf numFmtId="0" fontId="6" fillId="0" borderId="0" xfId="0" applyFont="1" applyFill="1"/>
    <xf numFmtId="0" fontId="13" fillId="0" borderId="0" xfId="0" applyFont="1" applyFill="1"/>
    <xf numFmtId="0" fontId="3" fillId="0" borderId="1" xfId="0" applyFont="1" applyFill="1" applyBorder="1"/>
    <xf numFmtId="0" fontId="1" fillId="0" borderId="0" xfId="0" applyFont="1" applyFill="1"/>
    <xf numFmtId="0" fontId="0" fillId="0" borderId="0" xfId="0" applyFill="1" applyAlignment="1">
      <alignment horizontal="right"/>
    </xf>
    <xf numFmtId="168" fontId="0" fillId="0" borderId="0" xfId="0" applyNumberFormat="1" applyFill="1"/>
    <xf numFmtId="167" fontId="0" fillId="0" borderId="0" xfId="0" applyNumberFormat="1" applyFill="1"/>
    <xf numFmtId="3" fontId="5" fillId="0" borderId="0" xfId="0" applyNumberFormat="1" applyFont="1" applyFill="1"/>
    <xf numFmtId="2" fontId="6" fillId="0" borderId="0" xfId="0" applyNumberFormat="1" applyFont="1" applyFill="1"/>
    <xf numFmtId="0" fontId="19" fillId="0" borderId="0" xfId="0" applyFont="1"/>
    <xf numFmtId="3" fontId="0" fillId="3" borderId="0" xfId="0" applyNumberFormat="1" applyFill="1"/>
    <xf numFmtId="9" fontId="0" fillId="3" borderId="0" xfId="0" applyNumberFormat="1" applyFill="1"/>
    <xf numFmtId="0" fontId="3" fillId="0" borderId="3" xfId="0" applyFont="1" applyBorder="1"/>
    <xf numFmtId="0" fontId="0" fillId="3" borderId="3" xfId="0" applyFill="1" applyBorder="1"/>
    <xf numFmtId="3" fontId="0" fillId="3" borderId="3" xfId="0" applyNumberFormat="1" applyFill="1" applyBorder="1"/>
    <xf numFmtId="9" fontId="0" fillId="3" borderId="3" xfId="0" applyNumberFormat="1" applyFill="1" applyBorder="1"/>
    <xf numFmtId="3" fontId="0" fillId="0" borderId="3" xfId="0" applyNumberFormat="1" applyBorder="1"/>
    <xf numFmtId="2" fontId="0" fillId="0" borderId="3" xfId="0" applyNumberFormat="1" applyBorder="1"/>
    <xf numFmtId="0" fontId="0" fillId="0" borderId="3" xfId="0" applyBorder="1"/>
    <xf numFmtId="0" fontId="0" fillId="0" borderId="0" xfId="0"/>
    <xf numFmtId="2" fontId="6" fillId="0" borderId="0" xfId="2" applyNumberFormat="1" applyFont="1"/>
    <xf numFmtId="0" fontId="0" fillId="3" borderId="0" xfId="0" applyFill="1"/>
    <xf numFmtId="9" fontId="0" fillId="0" borderId="1" xfId="1" applyFont="1" applyBorder="1"/>
    <xf numFmtId="9" fontId="3" fillId="0" borderId="1" xfId="0" applyNumberFormat="1" applyFont="1" applyBorder="1"/>
    <xf numFmtId="3" fontId="13" fillId="0" borderId="0" xfId="0" applyNumberFormat="1" applyFont="1"/>
    <xf numFmtId="0" fontId="20" fillId="0" borderId="0" xfId="0" applyFont="1" applyAlignment="1">
      <alignment horizontal="right"/>
    </xf>
    <xf numFmtId="0" fontId="20" fillId="0" borderId="1" xfId="0" applyFont="1" applyBorder="1" applyAlignment="1">
      <alignment horizontal="right"/>
    </xf>
    <xf numFmtId="4" fontId="6" fillId="0" borderId="0" xfId="0" applyNumberFormat="1" applyFont="1"/>
    <xf numFmtId="4" fontId="6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4" fontId="0" fillId="0" borderId="0" xfId="0" applyNumberFormat="1"/>
    <xf numFmtId="4" fontId="3" fillId="0" borderId="1" xfId="0" applyNumberFormat="1" applyFont="1" applyBorder="1"/>
    <xf numFmtId="9" fontId="6" fillId="0" borderId="2" xfId="0" applyNumberFormat="1" applyFont="1" applyBorder="1"/>
    <xf numFmtId="9" fontId="6" fillId="0" borderId="1" xfId="0" applyNumberFormat="1" applyFont="1" applyBorder="1"/>
    <xf numFmtId="0" fontId="6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Alignment="1">
      <alignment horizontal="right"/>
    </xf>
    <xf numFmtId="0" fontId="3" fillId="0" borderId="8" xfId="0" applyFont="1" applyBorder="1" applyAlignment="1">
      <alignment horizontal="right" wrapText="1"/>
    </xf>
    <xf numFmtId="0" fontId="6" fillId="0" borderId="7" xfId="0" applyFont="1" applyBorder="1"/>
    <xf numFmtId="0" fontId="0" fillId="0" borderId="8" xfId="0" applyBorder="1"/>
    <xf numFmtId="3" fontId="0" fillId="0" borderId="8" xfId="0" applyNumberFormat="1" applyBorder="1"/>
    <xf numFmtId="3" fontId="0" fillId="0" borderId="9" xfId="0" applyNumberFormat="1" applyBorder="1"/>
    <xf numFmtId="0" fontId="3" fillId="0" borderId="7" xfId="0" applyFont="1" applyBorder="1"/>
    <xf numFmtId="1" fontId="0" fillId="0" borderId="9" xfId="0" applyNumberFormat="1" applyBorder="1"/>
    <xf numFmtId="0" fontId="3" fillId="0" borderId="10" xfId="0" applyFont="1" applyBorder="1"/>
    <xf numFmtId="0" fontId="21" fillId="0" borderId="0" xfId="0" applyFont="1" applyAlignment="1">
      <alignment horizontal="right"/>
    </xf>
    <xf numFmtId="0" fontId="21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171" fontId="0" fillId="0" borderId="0" xfId="0" applyNumberFormat="1"/>
    <xf numFmtId="172" fontId="0" fillId="0" borderId="0" xfId="0" applyNumberFormat="1"/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/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1" fontId="0" fillId="0" borderId="8" xfId="0" applyNumberFormat="1" applyBorder="1"/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 applyAlignment="1">
      <alignment wrapText="1"/>
    </xf>
    <xf numFmtId="2" fontId="3" fillId="0" borderId="0" xfId="0" applyNumberFormat="1" applyFont="1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 applyFont="1"/>
    <xf numFmtId="9" fontId="0" fillId="0" borderId="0" xfId="1" applyFont="1"/>
    <xf numFmtId="0" fontId="3" fillId="0" borderId="0" xfId="0" applyFont="1"/>
    <xf numFmtId="0" fontId="0" fillId="0" borderId="0" xfId="0"/>
    <xf numFmtId="10" fontId="0" fillId="0" borderId="0" xfId="0" applyNumberFormat="1"/>
    <xf numFmtId="170" fontId="0" fillId="0" borderId="0" xfId="0" applyNumberFormat="1"/>
    <xf numFmtId="0" fontId="1" fillId="0" borderId="4" xfId="0" applyFont="1" applyBorder="1"/>
    <xf numFmtId="0" fontId="1" fillId="0" borderId="7" xfId="0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vertical="center"/>
    </xf>
    <xf numFmtId="169" fontId="0" fillId="0" borderId="0" xfId="0" applyNumberFormat="1" applyFill="1"/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 applyBorder="1"/>
    <xf numFmtId="1" fontId="0" fillId="0" borderId="0" xfId="0" applyNumberFormat="1" applyBorder="1"/>
    <xf numFmtId="0" fontId="0" fillId="0" borderId="1" xfId="0" applyNumberFormat="1" applyBorder="1"/>
    <xf numFmtId="0" fontId="3" fillId="0" borderId="0" xfId="0" applyFont="1"/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NumberForma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3" fillId="0" borderId="1" xfId="0" applyFont="1" applyBorder="1"/>
    <xf numFmtId="0" fontId="24" fillId="0" borderId="1" xfId="0" applyFont="1" applyBorder="1"/>
    <xf numFmtId="3" fontId="23" fillId="0" borderId="0" xfId="0" applyNumberFormat="1" applyFont="1"/>
    <xf numFmtId="3" fontId="24" fillId="0" borderId="0" xfId="0" applyNumberFormat="1" applyFont="1"/>
    <xf numFmtId="1" fontId="1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6" fillId="0" borderId="0" xfId="0" applyFont="1"/>
    <xf numFmtId="0" fontId="0" fillId="0" borderId="0" xfId="0"/>
    <xf numFmtId="4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/>
  </cellXfs>
  <cellStyles count="5">
    <cellStyle name="Normal" xfId="0" builtinId="0"/>
    <cellStyle name="Procent" xfId="1" builtinId="5"/>
    <cellStyle name="Tusental" xfId="2" builtinId="3"/>
    <cellStyle name="Tusental (0)_Sheet1" xfId="3" xr:uid="{00000000-0005-0000-0000-000003000000}"/>
    <cellStyle name="Valuta (0)_Sheet1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Ekologisk morot - känslighetsanalys arbetsbehov</a:t>
            </a:r>
          </a:p>
        </c:rich>
      </c:tx>
      <c:layout>
        <c:manualLayout>
          <c:xMode val="edge"/>
          <c:yMode val="edge"/>
          <c:x val="0.27507267581772327"/>
          <c:y val="2.835671700958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016482528725"/>
          <c:y val="0.15543608737296463"/>
          <c:w val="0.84321379041870548"/>
          <c:h val="0.70323670795629967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'Morot 1'!$C$110:$G$110</c:f>
              <c:numCache>
                <c:formatCode>0</c:formatCode>
                <c:ptCount val="5"/>
                <c:pt idx="0">
                  <c:v>91.875</c:v>
                </c:pt>
                <c:pt idx="1">
                  <c:v>137.8125</c:v>
                </c:pt>
                <c:pt idx="2">
                  <c:v>183.75</c:v>
                </c:pt>
                <c:pt idx="3">
                  <c:v>229.6875</c:v>
                </c:pt>
                <c:pt idx="4">
                  <c:v>275.625</c:v>
                </c:pt>
              </c:numCache>
            </c:numRef>
          </c:xVal>
          <c:yVal>
            <c:numRef>
              <c:f>'Morot 1'!$C$111:$G$111</c:f>
              <c:numCache>
                <c:formatCode>0.00</c:formatCode>
                <c:ptCount val="5"/>
                <c:pt idx="0">
                  <c:v>12.959610205630977</c:v>
                </c:pt>
                <c:pt idx="1">
                  <c:v>14.698327738098509</c:v>
                </c:pt>
                <c:pt idx="2">
                  <c:v>16.437045270566042</c:v>
                </c:pt>
                <c:pt idx="3">
                  <c:v>18.175762803033574</c:v>
                </c:pt>
                <c:pt idx="4">
                  <c:v>19.914480335501107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16D-4C56-9818-13C6367FC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8768"/>
        <c:axId val="1"/>
      </c:scatterChart>
      <c:valAx>
        <c:axId val="476068768"/>
        <c:scaling>
          <c:orientation val="minMax"/>
          <c:max val="300"/>
          <c:min val="5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Arbete (tim/</a:t>
                </a:r>
                <a:r>
                  <a:rPr lang="sv-SE" sz="1200" b="1" i="0" u="none" strike="noStrike" baseline="0">
                    <a:effectLst/>
                  </a:rPr>
                  <a:t>1000 m²</a:t>
                </a:r>
                <a:r>
                  <a:rPr lang="sv-SE"/>
                  <a:t>)</a:t>
                </a:r>
              </a:p>
            </c:rich>
          </c:tx>
          <c:layout>
            <c:manualLayout>
              <c:xMode val="edge"/>
              <c:yMode val="edge"/>
              <c:x val="0.46531005140249887"/>
              <c:y val="0.916854591103061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crossBetween val="midCat"/>
        <c:majorUnit val="50"/>
      </c:val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Självkostnadspris (kr/kg)</a:t>
                </a:r>
              </a:p>
            </c:rich>
          </c:tx>
          <c:layout>
            <c:manualLayout>
              <c:xMode val="edge"/>
              <c:yMode val="edge"/>
              <c:x val="2.0566261735620456E-2"/>
              <c:y val="0.313809608942021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76068768"/>
        <c:crosses val="autoZero"/>
        <c:crossBetween val="midCat"/>
        <c:majorUnit val="2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Ekologisk morot - känslighetsanalys arbetsbehov</a:t>
            </a:r>
          </a:p>
        </c:rich>
      </c:tx>
      <c:layout>
        <c:manualLayout>
          <c:xMode val="edge"/>
          <c:yMode val="edge"/>
          <c:x val="0.27507267581772327"/>
          <c:y val="2.835671700958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016482528725"/>
          <c:y val="0.15543608737296463"/>
          <c:w val="0.84321379041870548"/>
          <c:h val="0.70323670795629967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'Broccoli 1 '!$C$110:$G$110</c:f>
              <c:numCache>
                <c:formatCode>0</c:formatCode>
                <c:ptCount val="5"/>
                <c:pt idx="0">
                  <c:v>76.5</c:v>
                </c:pt>
                <c:pt idx="1">
                  <c:v>114.75</c:v>
                </c:pt>
                <c:pt idx="2">
                  <c:v>153</c:v>
                </c:pt>
                <c:pt idx="3">
                  <c:v>191.25</c:v>
                </c:pt>
                <c:pt idx="4">
                  <c:v>229.5</c:v>
                </c:pt>
              </c:numCache>
            </c:numRef>
          </c:xVal>
          <c:yVal>
            <c:numRef>
              <c:f>'Broccoli 1 '!$C$111:$G$111</c:f>
              <c:numCache>
                <c:formatCode>0.00</c:formatCode>
                <c:ptCount val="5"/>
                <c:pt idx="0">
                  <c:v>47.825336163021902</c:v>
                </c:pt>
                <c:pt idx="1">
                  <c:v>53.173862478811373</c:v>
                </c:pt>
                <c:pt idx="2">
                  <c:v>58.52238879460085</c:v>
                </c:pt>
                <c:pt idx="3">
                  <c:v>63.870915110390321</c:v>
                </c:pt>
                <c:pt idx="4">
                  <c:v>69.219441426179785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41-4A9A-B64F-8E7ED5E87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8768"/>
        <c:axId val="1"/>
      </c:scatterChart>
      <c:valAx>
        <c:axId val="476068768"/>
        <c:scaling>
          <c:orientation val="minMax"/>
          <c:max val="24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Arbete (tim/</a:t>
                </a:r>
                <a:r>
                  <a:rPr lang="sv-SE" sz="1200" b="1" i="0" u="none" strike="noStrike" baseline="0">
                    <a:effectLst/>
                  </a:rPr>
                  <a:t>1000 m²</a:t>
                </a:r>
                <a:r>
                  <a:rPr lang="sv-SE"/>
                  <a:t>)</a:t>
                </a:r>
              </a:p>
            </c:rich>
          </c:tx>
          <c:layout>
            <c:manualLayout>
              <c:xMode val="edge"/>
              <c:yMode val="edge"/>
              <c:x val="0.46531005140249887"/>
              <c:y val="0.916854591103061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Självkostnadspris (kr/kg)</a:t>
                </a:r>
              </a:p>
            </c:rich>
          </c:tx>
          <c:layout>
            <c:manualLayout>
              <c:xMode val="edge"/>
              <c:yMode val="edge"/>
              <c:x val="2.0566261735620456E-2"/>
              <c:y val="0.313809608942021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76068768"/>
        <c:crosses val="autoZero"/>
        <c:crossBetween val="midCat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Ekologisk morot - känslighetsanalys skördenivå</a:t>
            </a:r>
          </a:p>
        </c:rich>
      </c:tx>
      <c:layout>
        <c:manualLayout>
          <c:xMode val="edge"/>
          <c:yMode val="edge"/>
          <c:x val="0.26403868205794662"/>
          <c:y val="3.0043780498660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49387751053475"/>
          <c:y val="0.16296655674077376"/>
          <c:w val="0.8159237627314222"/>
          <c:h val="0.67384136558625296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'Broccoli 1 '!$C$115:$G$115</c:f>
              <c:numCache>
                <c:formatCode>#\ ##0.0</c:formatCode>
                <c:ptCount val="5"/>
                <c:pt idx="0">
                  <c:v>0.47499999999999998</c:v>
                </c:pt>
                <c:pt idx="1">
                  <c:v>0.71249999999999991</c:v>
                </c:pt>
                <c:pt idx="2">
                  <c:v>0.95</c:v>
                </c:pt>
                <c:pt idx="3">
                  <c:v>1.1875</c:v>
                </c:pt>
                <c:pt idx="4">
                  <c:v>1.4249999999999998</c:v>
                </c:pt>
              </c:numCache>
            </c:numRef>
          </c:xVal>
          <c:yVal>
            <c:numRef>
              <c:f>'Broccoli 1 '!$C$125:$G$125</c:f>
              <c:numCache>
                <c:formatCode>0.00</c:formatCode>
                <c:ptCount val="5"/>
                <c:pt idx="0">
                  <c:v>94.145689869903435</c:v>
                </c:pt>
                <c:pt idx="1">
                  <c:v>70.402436521456096</c:v>
                </c:pt>
                <c:pt idx="2">
                  <c:v>58.530809847232426</c:v>
                </c:pt>
                <c:pt idx="3">
                  <c:v>51.407833842698217</c:v>
                </c:pt>
                <c:pt idx="4">
                  <c:v>46.659183173008756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D7-443B-A230-55A0CEEB6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9096"/>
        <c:axId val="1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yVal>
                  <c:numRef>
                    <c:extLst>
                      <c:ext uri="{02D57815-91ED-43cb-92C2-25804820EDAC}">
                        <c15:formulaRef>
                          <c15:sqref>'Broccoli 1 '!$D$125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70.402436521456096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E7D7-443B-A230-55A0CEEB6D91}"/>
                  </c:ext>
                </c:extLst>
              </c15:ser>
            </c15:filteredScatterSeries>
            <c15:filteredScatterSeries>
              <c15:ser>
                <c:idx val="2"/>
                <c:order val="2"/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'Broccoli 1 '!$E$125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58.530809847232426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7D7-443B-A230-55A0CEEB6D91}"/>
                  </c:ext>
                </c:extLst>
              </c15:ser>
            </c15:filteredScatterSeries>
            <c15:filteredScatterSeries>
              <c15:ser>
                <c:idx val="3"/>
                <c:order val="3"/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'Broccoli 1 '!$F$125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51.407833842698217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7D7-443B-A230-55A0CEEB6D91}"/>
                  </c:ext>
                </c:extLst>
              </c15:ser>
            </c15:filteredScatterSeries>
            <c15:filteredScatterSeries>
              <c15:ser>
                <c:idx val="4"/>
                <c:order val="4"/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'Broccoli 1 '!$G$125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46.659183173008756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7D7-443B-A230-55A0CEEB6D91}"/>
                  </c:ext>
                </c:extLst>
              </c15:ser>
            </c15:filteredScatterSeries>
          </c:ext>
        </c:extLst>
      </c:scatterChart>
      <c:valAx>
        <c:axId val="476069096"/>
        <c:scaling>
          <c:orientation val="minMax"/>
          <c:min val="0.4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Skörd (ton/1000 m²)</a:t>
                </a:r>
              </a:p>
            </c:rich>
          </c:tx>
          <c:layout>
            <c:manualLayout>
              <c:xMode val="edge"/>
              <c:yMode val="edge"/>
              <c:x val="0.47833103993068832"/>
              <c:y val="0.907754408396792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Självkostnadspris (kr/kg)</a:t>
                </a:r>
              </a:p>
            </c:rich>
          </c:tx>
          <c:layout>
            <c:manualLayout>
              <c:xMode val="edge"/>
              <c:yMode val="edge"/>
              <c:x val="2.0408735315852508E-2"/>
              <c:y val="0.3047308834597113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76069096"/>
        <c:crosses val="autoZero"/>
        <c:crossBetween val="midCat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Broccoli - Arbetsbehov per vecka</a:t>
            </a:r>
          </a:p>
        </c:rich>
      </c:tx>
      <c:layout>
        <c:manualLayout>
          <c:xMode val="edge"/>
          <c:yMode val="edge"/>
          <c:x val="0.29336342729145831"/>
          <c:y val="3.2322228952150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83395927492012"/>
          <c:y val="0.17652921859160745"/>
          <c:w val="0.8560438717474651"/>
          <c:h val="0.651417679873255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'Broccoli arbete 1'!$A$34:$A$67</c:f>
              <c:numCache>
                <c:formatCode>General</c:formatCode>
                <c:ptCount val="3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</c:numCache>
            </c:numRef>
          </c:cat>
          <c:val>
            <c:numRef>
              <c:f>'Broccoli arbete 1'!$M$34:$M$67</c:f>
              <c:numCache>
                <c:formatCode>0.00</c:formatCode>
                <c:ptCount val="34"/>
                <c:pt idx="0">
                  <c:v>1.4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5.9666666666666668</c:v>
                </c:pt>
                <c:pt idx="5">
                  <c:v>0.26666666666666666</c:v>
                </c:pt>
                <c:pt idx="6">
                  <c:v>0.76666666666666661</c:v>
                </c:pt>
                <c:pt idx="7">
                  <c:v>7.8666666666666671</c:v>
                </c:pt>
                <c:pt idx="8">
                  <c:v>2.0166666666666666</c:v>
                </c:pt>
                <c:pt idx="9">
                  <c:v>1.9666666666666666</c:v>
                </c:pt>
                <c:pt idx="10">
                  <c:v>2.4666666666666668</c:v>
                </c:pt>
                <c:pt idx="11">
                  <c:v>7.166666666666667</c:v>
                </c:pt>
                <c:pt idx="12">
                  <c:v>2.4666666666666668</c:v>
                </c:pt>
                <c:pt idx="13">
                  <c:v>7.4666666666666668</c:v>
                </c:pt>
                <c:pt idx="14">
                  <c:v>7.4666666666666668</c:v>
                </c:pt>
                <c:pt idx="15">
                  <c:v>10.716666666666667</c:v>
                </c:pt>
                <c:pt idx="16">
                  <c:v>7.2666666666666666</c:v>
                </c:pt>
                <c:pt idx="17">
                  <c:v>7.2666666666666666</c:v>
                </c:pt>
                <c:pt idx="18">
                  <c:v>7.2666666666666666</c:v>
                </c:pt>
                <c:pt idx="19">
                  <c:v>6.6666666666666661</c:v>
                </c:pt>
                <c:pt idx="20">
                  <c:v>5.6666666666666661</c:v>
                </c:pt>
                <c:pt idx="21">
                  <c:v>5.0666666666666664</c:v>
                </c:pt>
                <c:pt idx="22">
                  <c:v>5.0666666666666664</c:v>
                </c:pt>
                <c:pt idx="23">
                  <c:v>5.0666666666666664</c:v>
                </c:pt>
                <c:pt idx="24">
                  <c:v>5.0666666666666664</c:v>
                </c:pt>
                <c:pt idx="25">
                  <c:v>5.0666666666666664</c:v>
                </c:pt>
                <c:pt idx="26">
                  <c:v>5.0666666666666664</c:v>
                </c:pt>
                <c:pt idx="27">
                  <c:v>5.0666666666666664</c:v>
                </c:pt>
                <c:pt idx="28">
                  <c:v>5.0666666666666664</c:v>
                </c:pt>
                <c:pt idx="29">
                  <c:v>5.0666666666666664</c:v>
                </c:pt>
                <c:pt idx="30">
                  <c:v>5.0666666666666664</c:v>
                </c:pt>
                <c:pt idx="31">
                  <c:v>5.0666666666666664</c:v>
                </c:pt>
                <c:pt idx="32">
                  <c:v>5.0666666666666664</c:v>
                </c:pt>
                <c:pt idx="3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5-4DE5-86F3-9DED07403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269688"/>
        <c:axId val="1"/>
      </c:barChart>
      <c:catAx>
        <c:axId val="457269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Vecka</a:t>
                </a:r>
              </a:p>
            </c:rich>
          </c:tx>
          <c:layout>
            <c:manualLayout>
              <c:xMode val="edge"/>
              <c:yMode val="edge"/>
              <c:x val="0.5161912334248121"/>
              <c:y val="0.905022949054445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tim per 1000 m2</a:t>
                </a:r>
              </a:p>
            </c:rich>
          </c:tx>
          <c:layout>
            <c:manualLayout>
              <c:xMode val="edge"/>
              <c:yMode val="edge"/>
              <c:x val="2.5649285695965526E-2"/>
              <c:y val="0.3729489198465576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57269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Ekologisk morot - känslighetsanalys arbetsbehov</a:t>
            </a:r>
          </a:p>
        </c:rich>
      </c:tx>
      <c:layout>
        <c:manualLayout>
          <c:xMode val="edge"/>
          <c:yMode val="edge"/>
          <c:x val="0.27507267581772327"/>
          <c:y val="2.835671700958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016482528725"/>
          <c:y val="0.15543608737296463"/>
          <c:w val="0.84321379041870548"/>
          <c:h val="0.70323670795629967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'Vitkål 1 '!$C$110:$G$110</c:f>
              <c:numCache>
                <c:formatCode>0</c:formatCode>
                <c:ptCount val="5"/>
                <c:pt idx="0">
                  <c:v>83.6</c:v>
                </c:pt>
                <c:pt idx="1">
                  <c:v>125.39999999999999</c:v>
                </c:pt>
                <c:pt idx="2">
                  <c:v>167.2</c:v>
                </c:pt>
                <c:pt idx="3">
                  <c:v>209</c:v>
                </c:pt>
                <c:pt idx="4">
                  <c:v>250.79999999999998</c:v>
                </c:pt>
              </c:numCache>
            </c:numRef>
          </c:xVal>
          <c:yVal>
            <c:numRef>
              <c:f>'Vitkål 1 '!$C$111:$G$111</c:f>
              <c:numCache>
                <c:formatCode>0.00</c:formatCode>
                <c:ptCount val="5"/>
                <c:pt idx="0">
                  <c:v>10.438372292247994</c:v>
                </c:pt>
                <c:pt idx="1">
                  <c:v>11.669053542247994</c:v>
                </c:pt>
                <c:pt idx="2">
                  <c:v>12.899734792247994</c:v>
                </c:pt>
                <c:pt idx="3">
                  <c:v>14.130416042247996</c:v>
                </c:pt>
                <c:pt idx="4">
                  <c:v>15.361097292247996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31-4173-9DCA-826098C35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8768"/>
        <c:axId val="1"/>
      </c:scatterChart>
      <c:valAx>
        <c:axId val="476068768"/>
        <c:scaling>
          <c:orientation val="minMax"/>
          <c:max val="260"/>
          <c:min val="8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Arbete (tim/</a:t>
                </a:r>
                <a:r>
                  <a:rPr lang="sv-SE" sz="1200" b="1" i="0" u="none" strike="noStrike" baseline="0">
                    <a:effectLst/>
                  </a:rPr>
                  <a:t>1000 m²</a:t>
                </a:r>
                <a:r>
                  <a:rPr lang="sv-SE"/>
                  <a:t>)</a:t>
                </a:r>
              </a:p>
            </c:rich>
          </c:tx>
          <c:layout>
            <c:manualLayout>
              <c:xMode val="edge"/>
              <c:yMode val="edge"/>
              <c:x val="0.46531005140249887"/>
              <c:y val="0.916854591103061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Självkostnadspris (kr/kg)</a:t>
                </a:r>
              </a:p>
            </c:rich>
          </c:tx>
          <c:layout>
            <c:manualLayout>
              <c:xMode val="edge"/>
              <c:yMode val="edge"/>
              <c:x val="2.0566261735620456E-2"/>
              <c:y val="0.313809608942021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7606876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Ekologisk morot - känslighetsanalys skördenivå</a:t>
            </a:r>
          </a:p>
        </c:rich>
      </c:tx>
      <c:layout>
        <c:manualLayout>
          <c:xMode val="edge"/>
          <c:yMode val="edge"/>
          <c:x val="0.26403868205794662"/>
          <c:y val="3.0043780498660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49387751053475"/>
          <c:y val="0.15880337915090037"/>
          <c:w val="0.8159237627314222"/>
          <c:h val="0.67384136558625296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'Vitkål 1 '!$C$115:$G$115</c:f>
              <c:numCache>
                <c:formatCode>#\ ##0.0</c:formatCode>
                <c:ptCount val="5"/>
                <c:pt idx="0">
                  <c:v>2.4</c:v>
                </c:pt>
                <c:pt idx="1">
                  <c:v>3.5999999999999996</c:v>
                </c:pt>
                <c:pt idx="2">
                  <c:v>4.8</c:v>
                </c:pt>
                <c:pt idx="3">
                  <c:v>6</c:v>
                </c:pt>
                <c:pt idx="4">
                  <c:v>7.1999999999999993</c:v>
                </c:pt>
              </c:numCache>
            </c:numRef>
          </c:xVal>
          <c:yVal>
            <c:numRef>
              <c:f>'Vitkål 1 '!$C$125:$G$125</c:f>
              <c:numCache>
                <c:formatCode>0.00</c:formatCode>
                <c:ptCount val="5"/>
                <c:pt idx="0">
                  <c:v>20.506286251162656</c:v>
                </c:pt>
                <c:pt idx="1">
                  <c:v>15.435946389663995</c:v>
                </c:pt>
                <c:pt idx="2">
                  <c:v>12.900776458914661</c:v>
                </c:pt>
                <c:pt idx="3">
                  <c:v>11.379674500465065</c:v>
                </c:pt>
                <c:pt idx="4">
                  <c:v>10.36560652816533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84-4C60-BA64-3D1DE809F51A}"/>
            </c:ext>
          </c:extLst>
        </c:ser>
        <c:ser>
          <c:idx val="1"/>
          <c:order val="1"/>
          <c:yVal>
            <c:numRef>
              <c:f>'Vitkål 1 '!$D$125</c:f>
              <c:numCache>
                <c:formatCode>0.00</c:formatCode>
                <c:ptCount val="1"/>
                <c:pt idx="0">
                  <c:v>15.435946389663995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284-4C60-BA64-3D1DE809F51A}"/>
            </c:ext>
          </c:extLst>
        </c:ser>
        <c:ser>
          <c:idx val="2"/>
          <c:order val="2"/>
          <c:yVal>
            <c:numRef>
              <c:f>'Vitkål 1 '!$E$125</c:f>
              <c:numCache>
                <c:formatCode>0.00</c:formatCode>
                <c:ptCount val="1"/>
                <c:pt idx="0">
                  <c:v>12.900776458914661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284-4C60-BA64-3D1DE809F51A}"/>
            </c:ext>
          </c:extLst>
        </c:ser>
        <c:ser>
          <c:idx val="3"/>
          <c:order val="3"/>
          <c:yVal>
            <c:numRef>
              <c:f>'Vitkål 1 '!$F$125</c:f>
              <c:numCache>
                <c:formatCode>0.00</c:formatCode>
                <c:ptCount val="1"/>
                <c:pt idx="0">
                  <c:v>11.379674500465065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284-4C60-BA64-3D1DE809F51A}"/>
            </c:ext>
          </c:extLst>
        </c:ser>
        <c:ser>
          <c:idx val="4"/>
          <c:order val="4"/>
          <c:yVal>
            <c:numRef>
              <c:f>'Vitkål 1 '!$G$125</c:f>
              <c:numCache>
                <c:formatCode>0.00</c:formatCode>
                <c:ptCount val="1"/>
                <c:pt idx="0">
                  <c:v>10.36560652816533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284-4C60-BA64-3D1DE809F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9096"/>
        <c:axId val="1"/>
      </c:scatterChart>
      <c:valAx>
        <c:axId val="476069096"/>
        <c:scaling>
          <c:orientation val="minMax"/>
          <c:max val="8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Skörd (ton/1000 m²)</a:t>
                </a:r>
              </a:p>
            </c:rich>
          </c:tx>
          <c:layout>
            <c:manualLayout>
              <c:xMode val="edge"/>
              <c:yMode val="edge"/>
              <c:x val="0.47833103993068832"/>
              <c:y val="0.907754408396792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Självkostnadspris (kr/kg)</a:t>
                </a:r>
              </a:p>
            </c:rich>
          </c:tx>
          <c:layout>
            <c:manualLayout>
              <c:xMode val="edge"/>
              <c:yMode val="edge"/>
              <c:x val="2.0408735315852508E-2"/>
              <c:y val="0.3047308834597113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76069096"/>
        <c:crosses val="autoZero"/>
        <c:crossBetween val="midCat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Ekologisk morot - känslighetsanalys arbetsbehov</a:t>
            </a:r>
          </a:p>
        </c:rich>
      </c:tx>
      <c:layout>
        <c:manualLayout>
          <c:xMode val="edge"/>
          <c:yMode val="edge"/>
          <c:x val="0.27507267581772327"/>
          <c:y val="2.835671700958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016482528725"/>
          <c:y val="0.15543608737296463"/>
          <c:w val="0.84321379041870548"/>
          <c:h val="0.70323670795629967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'Brytböna 1'!$C$110:$G$110</c:f>
              <c:numCache>
                <c:formatCode>0</c:formatCode>
                <c:ptCount val="5"/>
                <c:pt idx="0">
                  <c:v>115</c:v>
                </c:pt>
                <c:pt idx="1">
                  <c:v>172.5</c:v>
                </c:pt>
                <c:pt idx="2">
                  <c:v>230</c:v>
                </c:pt>
                <c:pt idx="3">
                  <c:v>287.5</c:v>
                </c:pt>
                <c:pt idx="4">
                  <c:v>345</c:v>
                </c:pt>
              </c:numCache>
            </c:numRef>
          </c:xVal>
          <c:yVal>
            <c:numRef>
              <c:f>'Brytböna 1'!$C$111:$G$111</c:f>
              <c:numCache>
                <c:formatCode>0.00</c:formatCode>
                <c:ptCount val="5"/>
                <c:pt idx="0">
                  <c:v>54.623626418660983</c:v>
                </c:pt>
                <c:pt idx="1">
                  <c:v>63.774284313397828</c:v>
                </c:pt>
                <c:pt idx="2">
                  <c:v>72.924942208134667</c:v>
                </c:pt>
                <c:pt idx="3">
                  <c:v>82.075600102871505</c:v>
                </c:pt>
                <c:pt idx="4">
                  <c:v>91.226257997608357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BB-4E2E-A63A-3E0AC875F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8768"/>
        <c:axId val="1"/>
      </c:scatterChart>
      <c:valAx>
        <c:axId val="476068768"/>
        <c:scaling>
          <c:orientation val="minMax"/>
          <c:max val="150"/>
          <c:min val="5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Arbete (tim/</a:t>
                </a:r>
                <a:r>
                  <a:rPr lang="sv-SE" sz="1200" b="1" i="0" u="none" strike="noStrike" baseline="0">
                    <a:effectLst/>
                  </a:rPr>
                  <a:t>1000 m²</a:t>
                </a:r>
                <a:r>
                  <a:rPr lang="sv-SE"/>
                  <a:t>)</a:t>
                </a:r>
              </a:p>
            </c:rich>
          </c:tx>
          <c:layout>
            <c:manualLayout>
              <c:xMode val="edge"/>
              <c:yMode val="edge"/>
              <c:x val="0.46531005140249887"/>
              <c:y val="0.916854591103061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8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Självkostnadspris (kr/kg)</a:t>
                </a:r>
              </a:p>
            </c:rich>
          </c:tx>
          <c:layout>
            <c:manualLayout>
              <c:xMode val="edge"/>
              <c:yMode val="edge"/>
              <c:x val="2.0566261735620456E-2"/>
              <c:y val="0.313809608942021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7606876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Ekologisk morot - känslighetsanalys skördenivå</a:t>
            </a:r>
          </a:p>
        </c:rich>
      </c:tx>
      <c:layout>
        <c:manualLayout>
          <c:xMode val="edge"/>
          <c:yMode val="edge"/>
          <c:x val="0.26403868205794662"/>
          <c:y val="3.0043780498660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49387751053475"/>
          <c:y val="0.15880337915090037"/>
          <c:w val="0.8159237627314222"/>
          <c:h val="0.67384136558625296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'Brytböna 1'!$C$115:$G$115</c:f>
              <c:numCache>
                <c:formatCode>#\ ##0.0</c:formatCode>
                <c:ptCount val="5"/>
                <c:pt idx="0">
                  <c:v>0.47499999999999998</c:v>
                </c:pt>
                <c:pt idx="1">
                  <c:v>0.71249999999999991</c:v>
                </c:pt>
                <c:pt idx="2">
                  <c:v>0.95</c:v>
                </c:pt>
                <c:pt idx="3">
                  <c:v>1.1875</c:v>
                </c:pt>
                <c:pt idx="4">
                  <c:v>1.4249999999999998</c:v>
                </c:pt>
              </c:numCache>
            </c:numRef>
          </c:xVal>
          <c:yVal>
            <c:numRef>
              <c:f>'Brytböna 1'!$C$125:$G$125</c:f>
              <c:numCache>
                <c:formatCode>0.00</c:formatCode>
                <c:ptCount val="5"/>
                <c:pt idx="0">
                  <c:v>109.05158867692099</c:v>
                </c:pt>
                <c:pt idx="1">
                  <c:v>84.925386603327439</c:v>
                </c:pt>
                <c:pt idx="2">
                  <c:v>72.862285566530673</c:v>
                </c:pt>
                <c:pt idx="3">
                  <c:v>65.624424944452599</c:v>
                </c:pt>
                <c:pt idx="4">
                  <c:v>60.7991845297339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A6-4133-AAAD-D0B95B645DF4}"/>
            </c:ext>
          </c:extLst>
        </c:ser>
        <c:ser>
          <c:idx val="1"/>
          <c:order val="1"/>
          <c:yVal>
            <c:numRef>
              <c:f>'Brytböna 1'!$D$125</c:f>
              <c:numCache>
                <c:formatCode>0.00</c:formatCode>
                <c:ptCount val="1"/>
                <c:pt idx="0">
                  <c:v>84.925386603327439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CA6-4133-AAAD-D0B95B645DF4}"/>
            </c:ext>
          </c:extLst>
        </c:ser>
        <c:ser>
          <c:idx val="2"/>
          <c:order val="2"/>
          <c:yVal>
            <c:numRef>
              <c:f>'Brytböna 1'!$E$125</c:f>
              <c:numCache>
                <c:formatCode>0.00</c:formatCode>
                <c:ptCount val="1"/>
                <c:pt idx="0">
                  <c:v>72.862285566530673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CA6-4133-AAAD-D0B95B645DF4}"/>
            </c:ext>
          </c:extLst>
        </c:ser>
        <c:ser>
          <c:idx val="3"/>
          <c:order val="3"/>
          <c:yVal>
            <c:numRef>
              <c:f>'Brytböna 1'!$F$125</c:f>
              <c:numCache>
                <c:formatCode>0.00</c:formatCode>
                <c:ptCount val="1"/>
                <c:pt idx="0">
                  <c:v>65.624424944452599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CA6-4133-AAAD-D0B95B645DF4}"/>
            </c:ext>
          </c:extLst>
        </c:ser>
        <c:ser>
          <c:idx val="4"/>
          <c:order val="4"/>
          <c:yVal>
            <c:numRef>
              <c:f>'Brytböna 1'!$G$125</c:f>
              <c:numCache>
                <c:formatCode>0.00</c:formatCode>
                <c:ptCount val="1"/>
                <c:pt idx="0">
                  <c:v>60.7991845297339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CA6-4133-AAAD-D0B95B645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9096"/>
        <c:axId val="1"/>
      </c:scatterChart>
      <c:valAx>
        <c:axId val="476069096"/>
        <c:scaling>
          <c:orientation val="minMax"/>
          <c:max val="5.5"/>
          <c:min val="1.5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Skörd (ton/1000 m²)</a:t>
                </a:r>
              </a:p>
            </c:rich>
          </c:tx>
          <c:layout>
            <c:manualLayout>
              <c:xMode val="edge"/>
              <c:yMode val="edge"/>
              <c:x val="0.47833103993068832"/>
              <c:y val="0.907754408396792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7"/>
          <c:min val="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Självkostnadspris (kr/kg)</a:t>
                </a:r>
              </a:p>
            </c:rich>
          </c:tx>
          <c:layout>
            <c:manualLayout>
              <c:xMode val="edge"/>
              <c:yMode val="edge"/>
              <c:x val="2.0408735315852508E-2"/>
              <c:y val="0.3047308834597113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76069096"/>
        <c:crosses val="autoZero"/>
        <c:crossBetween val="midCat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Ekologisk morot - känslighetsanalys arbetsbehov</a:t>
            </a:r>
          </a:p>
        </c:rich>
      </c:tx>
      <c:layout>
        <c:manualLayout>
          <c:xMode val="edge"/>
          <c:yMode val="edge"/>
          <c:x val="0.27507267581772327"/>
          <c:y val="2.835671700958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016482528725"/>
          <c:y val="0.15543608737296463"/>
          <c:w val="0.84321379041870548"/>
          <c:h val="0.70323670795629967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'Sockerärt 1'!$C$112:$G$112</c:f>
              <c:numCache>
                <c:formatCode>0</c:formatCode>
                <c:ptCount val="5"/>
                <c:pt idx="0">
                  <c:v>177.5</c:v>
                </c:pt>
                <c:pt idx="1">
                  <c:v>266.25</c:v>
                </c:pt>
                <c:pt idx="2">
                  <c:v>355</c:v>
                </c:pt>
                <c:pt idx="3">
                  <c:v>443.75</c:v>
                </c:pt>
                <c:pt idx="4">
                  <c:v>532.5</c:v>
                </c:pt>
              </c:numCache>
            </c:numRef>
          </c:xVal>
          <c:yVal>
            <c:numRef>
              <c:f>'Sockerärt 1'!$C$113:$G$113</c:f>
              <c:numCache>
                <c:formatCode>0.00</c:formatCode>
                <c:ptCount val="5"/>
                <c:pt idx="0">
                  <c:v>116.75307243544584</c:v>
                </c:pt>
                <c:pt idx="1">
                  <c:v>142.7333355933406</c:v>
                </c:pt>
                <c:pt idx="2">
                  <c:v>168.71359875123531</c:v>
                </c:pt>
                <c:pt idx="3">
                  <c:v>194.69386190913005</c:v>
                </c:pt>
                <c:pt idx="4">
                  <c:v>220.67412506702479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302-47DC-8F70-5686FA172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8768"/>
        <c:axId val="1"/>
      </c:scatterChart>
      <c:valAx>
        <c:axId val="476068768"/>
        <c:scaling>
          <c:orientation val="minMax"/>
          <c:max val="150"/>
          <c:min val="5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Arbete (tim/</a:t>
                </a:r>
                <a:r>
                  <a:rPr lang="sv-SE" sz="1200" b="1" i="0" u="none" strike="noStrike" baseline="0">
                    <a:effectLst/>
                  </a:rPr>
                  <a:t>1000 m²</a:t>
                </a:r>
                <a:r>
                  <a:rPr lang="sv-SE"/>
                  <a:t>)</a:t>
                </a:r>
              </a:p>
            </c:rich>
          </c:tx>
          <c:layout>
            <c:manualLayout>
              <c:xMode val="edge"/>
              <c:yMode val="edge"/>
              <c:x val="0.46531005140249887"/>
              <c:y val="0.916854591103061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8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Självkostnadspris (kr/kg)</a:t>
                </a:r>
              </a:p>
            </c:rich>
          </c:tx>
          <c:layout>
            <c:manualLayout>
              <c:xMode val="edge"/>
              <c:yMode val="edge"/>
              <c:x val="2.0566261735620456E-2"/>
              <c:y val="0.313809608942021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7606876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Ekologisk morot - känslighetsanalys skördenivå</a:t>
            </a:r>
          </a:p>
        </c:rich>
      </c:tx>
      <c:layout>
        <c:manualLayout>
          <c:xMode val="edge"/>
          <c:yMode val="edge"/>
          <c:x val="0.26403868205794662"/>
          <c:y val="3.0043780498660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49387751053475"/>
          <c:y val="0.15880337915090037"/>
          <c:w val="0.8159237627314222"/>
          <c:h val="0.67384136558625296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'Sockerärt 1'!$C$117:$G$117</c:f>
              <c:numCache>
                <c:formatCode>#\ ##0.0</c:formatCode>
                <c:ptCount val="5"/>
                <c:pt idx="0">
                  <c:v>0.28499999999999998</c:v>
                </c:pt>
                <c:pt idx="1">
                  <c:v>0.42749999999999999</c:v>
                </c:pt>
                <c:pt idx="2">
                  <c:v>0.56999999999999995</c:v>
                </c:pt>
                <c:pt idx="3">
                  <c:v>0.71249999999999991</c:v>
                </c:pt>
                <c:pt idx="4">
                  <c:v>0.85499999999999998</c:v>
                </c:pt>
              </c:numCache>
            </c:numRef>
          </c:xVal>
          <c:yVal>
            <c:numRef>
              <c:f>'Sockerärt 1'!$C$127:$G$127</c:f>
              <c:numCache>
                <c:formatCode>0.00</c:formatCode>
                <c:ptCount val="5"/>
                <c:pt idx="0">
                  <c:v>276.13503375978064</c:v>
                </c:pt>
                <c:pt idx="1">
                  <c:v>202.76635778917148</c:v>
                </c:pt>
                <c:pt idx="2">
                  <c:v>168.71359875123534</c:v>
                </c:pt>
                <c:pt idx="3">
                  <c:v>144.07141701268418</c:v>
                </c:pt>
                <c:pt idx="4">
                  <c:v>129.39768181856235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999-4A12-8F65-2CEC99618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9096"/>
        <c:axId val="1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yVal>
                  <c:numRef>
                    <c:extLst>
                      <c:ext uri="{02D57815-91ED-43cb-92C2-25804820EDAC}">
                        <c15:formulaRef>
                          <c15:sqref>'Sockerärt 1'!$D$127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202.76635778917148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4999-4A12-8F65-2CEC99618CA4}"/>
                  </c:ext>
                </c:extLst>
              </c15:ser>
            </c15:filteredScatterSeries>
            <c15:filteredScatterSeries>
              <c15:ser>
                <c:idx val="2"/>
                <c:order val="2"/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'Sockerärt 1'!$E$127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168.71359875123534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999-4A12-8F65-2CEC99618CA4}"/>
                  </c:ext>
                </c:extLst>
              </c15:ser>
            </c15:filteredScatterSeries>
            <c15:filteredScatterSeries>
              <c15:ser>
                <c:idx val="3"/>
                <c:order val="3"/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'Sockerärt 1'!$F$127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144.07141701268418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99-4A12-8F65-2CEC99618CA4}"/>
                  </c:ext>
                </c:extLst>
              </c15:ser>
            </c15:filteredScatterSeries>
            <c15:filteredScatterSeries>
              <c15:ser>
                <c:idx val="4"/>
                <c:order val="4"/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'Sockerärt 1'!$G$127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129.39768181856235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999-4A12-8F65-2CEC99618CA4}"/>
                  </c:ext>
                </c:extLst>
              </c15:ser>
            </c15:filteredScatterSeries>
          </c:ext>
        </c:extLst>
      </c:scatterChart>
      <c:valAx>
        <c:axId val="476069096"/>
        <c:scaling>
          <c:orientation val="minMax"/>
          <c:max val="1"/>
          <c:min val="0.2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Skörd (ton/1000 m²)</a:t>
                </a:r>
              </a:p>
            </c:rich>
          </c:tx>
          <c:layout>
            <c:manualLayout>
              <c:xMode val="edge"/>
              <c:yMode val="edge"/>
              <c:x val="0.47833103993068832"/>
              <c:y val="0.907754408396792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Självkostnadspris (kr/kg)</a:t>
                </a:r>
              </a:p>
            </c:rich>
          </c:tx>
          <c:layout>
            <c:manualLayout>
              <c:xMode val="edge"/>
              <c:yMode val="edge"/>
              <c:x val="2.0408735315852508E-2"/>
              <c:y val="0.3047308834597113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76069096"/>
        <c:crosses val="autoZero"/>
        <c:crossBetween val="midCat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Ekologisk morot - känslighetsanalys skördenivå</a:t>
            </a:r>
          </a:p>
        </c:rich>
      </c:tx>
      <c:layout>
        <c:manualLayout>
          <c:xMode val="edge"/>
          <c:yMode val="edge"/>
          <c:x val="0.26403868205794662"/>
          <c:y val="3.0043780498660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49387751053475"/>
          <c:y val="0.15880337915090037"/>
          <c:w val="0.8159237627314222"/>
          <c:h val="0.67384136558625296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'Morot 1'!$C$115:$G$115</c:f>
              <c:numCache>
                <c:formatCode>#\ ##0.0</c:formatCode>
                <c:ptCount val="5"/>
                <c:pt idx="0">
                  <c:v>1.9249999999999998</c:v>
                </c:pt>
                <c:pt idx="1">
                  <c:v>2.8874999999999997</c:v>
                </c:pt>
                <c:pt idx="2">
                  <c:v>3.8499999999999996</c:v>
                </c:pt>
                <c:pt idx="3">
                  <c:v>4.8125</c:v>
                </c:pt>
                <c:pt idx="4">
                  <c:v>5.7749999999999995</c:v>
                </c:pt>
              </c:numCache>
            </c:numRef>
          </c:xVal>
          <c:yVal>
            <c:numRef>
              <c:f>'Morot 1'!$C$125:$G$125</c:f>
              <c:numCache>
                <c:formatCode>0.00</c:formatCode>
                <c:ptCount val="5"/>
                <c:pt idx="0">
                  <c:v>25.311122287163826</c:v>
                </c:pt>
                <c:pt idx="1">
                  <c:v>19.395070942765305</c:v>
                </c:pt>
                <c:pt idx="2">
                  <c:v>16.437045270566042</c:v>
                </c:pt>
                <c:pt idx="3">
                  <c:v>14.662229867246483</c:v>
                </c:pt>
                <c:pt idx="4">
                  <c:v>13.479019598366779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36C-4965-9BAF-483D90DD47CE}"/>
            </c:ext>
          </c:extLst>
        </c:ser>
        <c:ser>
          <c:idx val="1"/>
          <c:order val="1"/>
          <c:yVal>
            <c:numRef>
              <c:f>'Morot 1'!$D$125</c:f>
              <c:numCache>
                <c:formatCode>0.00</c:formatCode>
                <c:ptCount val="1"/>
                <c:pt idx="0">
                  <c:v>19.395070942765305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36C-4965-9BAF-483D90DD47CE}"/>
            </c:ext>
          </c:extLst>
        </c:ser>
        <c:ser>
          <c:idx val="2"/>
          <c:order val="2"/>
          <c:yVal>
            <c:numRef>
              <c:f>'Morot 1'!$E$125</c:f>
              <c:numCache>
                <c:formatCode>0.00</c:formatCode>
                <c:ptCount val="1"/>
                <c:pt idx="0">
                  <c:v>16.437045270566042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36C-4965-9BAF-483D90DD47CE}"/>
            </c:ext>
          </c:extLst>
        </c:ser>
        <c:ser>
          <c:idx val="3"/>
          <c:order val="3"/>
          <c:yVal>
            <c:numRef>
              <c:f>'Morot 1'!$F$125</c:f>
              <c:numCache>
                <c:formatCode>0.00</c:formatCode>
                <c:ptCount val="1"/>
                <c:pt idx="0">
                  <c:v>14.662229867246483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36C-4965-9BAF-483D90DD47CE}"/>
            </c:ext>
          </c:extLst>
        </c:ser>
        <c:ser>
          <c:idx val="4"/>
          <c:order val="4"/>
          <c:yVal>
            <c:numRef>
              <c:f>'Morot 1'!$G$125</c:f>
              <c:numCache>
                <c:formatCode>0.00</c:formatCode>
                <c:ptCount val="1"/>
                <c:pt idx="0">
                  <c:v>13.479019598366779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36C-4965-9BAF-483D90DD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9096"/>
        <c:axId val="1"/>
      </c:scatterChart>
      <c:valAx>
        <c:axId val="476069096"/>
        <c:scaling>
          <c:orientation val="minMax"/>
          <c:max val="6"/>
          <c:min val="1.5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Skörd (ton/1000 m²)</a:t>
                </a:r>
              </a:p>
            </c:rich>
          </c:tx>
          <c:layout>
            <c:manualLayout>
              <c:xMode val="edge"/>
              <c:yMode val="edge"/>
              <c:x val="0.47833103993068832"/>
              <c:y val="0.907754408396792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Självkostnadspris (kr/kg)</a:t>
                </a:r>
              </a:p>
            </c:rich>
          </c:tx>
          <c:layout>
            <c:manualLayout>
              <c:xMode val="edge"/>
              <c:yMode val="edge"/>
              <c:x val="2.0408735315852508E-2"/>
              <c:y val="0.3047308834597113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76069096"/>
        <c:crosses val="autoZero"/>
        <c:crossBetween val="midCat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Morot - Arbetsbehov per vecka</a:t>
            </a:r>
          </a:p>
        </c:rich>
      </c:tx>
      <c:layout>
        <c:manualLayout>
          <c:xMode val="edge"/>
          <c:yMode val="edge"/>
          <c:x val="0.31833487846986158"/>
          <c:y val="3.137600855448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9285393483455"/>
          <c:y val="0.16360405158149999"/>
          <c:w val="0.86776872473682209"/>
          <c:h val="0.663380811892109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'Morot arbete 1'!$A$35:$A$70</c:f>
              <c:numCache>
                <c:formatCode>General</c:formatCode>
                <c:ptCount val="36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</c:numCache>
            </c:numRef>
          </c:cat>
          <c:val>
            <c:numRef>
              <c:f>'Morot arbete 1'!$N$35:$N$70</c:f>
              <c:numCache>
                <c:formatCode>0.0</c:formatCode>
                <c:ptCount val="36"/>
                <c:pt idx="0">
                  <c:v>2.4</c:v>
                </c:pt>
                <c:pt idx="1">
                  <c:v>2.0499999999999998</c:v>
                </c:pt>
                <c:pt idx="2">
                  <c:v>0.65</c:v>
                </c:pt>
                <c:pt idx="3">
                  <c:v>0.30000000000000004</c:v>
                </c:pt>
                <c:pt idx="4">
                  <c:v>2.8833333333333333</c:v>
                </c:pt>
                <c:pt idx="5">
                  <c:v>0.75</c:v>
                </c:pt>
                <c:pt idx="6">
                  <c:v>4.7666666666666657</c:v>
                </c:pt>
                <c:pt idx="7">
                  <c:v>3.85</c:v>
                </c:pt>
                <c:pt idx="8">
                  <c:v>6.6833333333333327</c:v>
                </c:pt>
                <c:pt idx="9">
                  <c:v>4.8999999999999995</c:v>
                </c:pt>
                <c:pt idx="10">
                  <c:v>5</c:v>
                </c:pt>
                <c:pt idx="11">
                  <c:v>2.6</c:v>
                </c:pt>
                <c:pt idx="12">
                  <c:v>4.6666666666666661</c:v>
                </c:pt>
                <c:pt idx="13">
                  <c:v>2.6</c:v>
                </c:pt>
                <c:pt idx="14">
                  <c:v>6.302083333333333</c:v>
                </c:pt>
                <c:pt idx="15">
                  <c:v>4.5687499999999996</c:v>
                </c:pt>
                <c:pt idx="16">
                  <c:v>5.6354166666666661</c:v>
                </c:pt>
                <c:pt idx="17">
                  <c:v>3.9437500000000001</c:v>
                </c:pt>
                <c:pt idx="18">
                  <c:v>4.03125</c:v>
                </c:pt>
                <c:pt idx="19">
                  <c:v>3.6312500000000001</c:v>
                </c:pt>
                <c:pt idx="20">
                  <c:v>3.71875</c:v>
                </c:pt>
                <c:pt idx="21">
                  <c:v>3.3187500000000001</c:v>
                </c:pt>
                <c:pt idx="22">
                  <c:v>3.71875</c:v>
                </c:pt>
                <c:pt idx="23">
                  <c:v>3.3187500000000001</c:v>
                </c:pt>
                <c:pt idx="24">
                  <c:v>3.3187500000000001</c:v>
                </c:pt>
                <c:pt idx="25">
                  <c:v>3.3187500000000001</c:v>
                </c:pt>
                <c:pt idx="26">
                  <c:v>3.3187500000000001</c:v>
                </c:pt>
                <c:pt idx="27">
                  <c:v>3.3187500000000001</c:v>
                </c:pt>
                <c:pt idx="28">
                  <c:v>3.3187500000000001</c:v>
                </c:pt>
                <c:pt idx="29">
                  <c:v>3.3187500000000001</c:v>
                </c:pt>
                <c:pt idx="30">
                  <c:v>7.9020833333333327</c:v>
                </c:pt>
                <c:pt idx="31">
                  <c:v>7.9020833333333327</c:v>
                </c:pt>
                <c:pt idx="32">
                  <c:v>7.9020833333333327</c:v>
                </c:pt>
                <c:pt idx="33">
                  <c:v>7.802083333333333</c:v>
                </c:pt>
                <c:pt idx="34">
                  <c:v>2.302083333333333</c:v>
                </c:pt>
                <c:pt idx="35">
                  <c:v>2.302083333333333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B-4763-8668-F905EC92C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271328"/>
        <c:axId val="1"/>
      </c:barChart>
      <c:catAx>
        <c:axId val="45727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Vecka</a:t>
                </a:r>
              </a:p>
            </c:rich>
          </c:tx>
          <c:layout>
            <c:manualLayout>
              <c:xMode val="edge"/>
              <c:yMode val="edge"/>
              <c:x val="0.50811143112605428"/>
              <c:y val="0.91214858559346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tim per 1000 m2</a:t>
                </a:r>
              </a:p>
            </c:rich>
          </c:tx>
          <c:layout>
            <c:manualLayout>
              <c:xMode val="edge"/>
              <c:yMode val="edge"/>
              <c:x val="2.4487323699922122E-2"/>
              <c:y val="0.3697900262467191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57271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Rotgrönsaker</a:t>
            </a:r>
            <a:r>
              <a:rPr lang="sv-SE" baseline="0"/>
              <a:t> i bunt</a:t>
            </a:r>
            <a:r>
              <a:rPr lang="sv-SE"/>
              <a:t> - känslighetsanalys arbetsbehov</a:t>
            </a:r>
          </a:p>
        </c:rich>
      </c:tx>
      <c:layout>
        <c:manualLayout>
          <c:xMode val="edge"/>
          <c:yMode val="edge"/>
          <c:x val="0.27507267581772327"/>
          <c:y val="2.835671700958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34914207536861"/>
          <c:y val="0.15543608737296463"/>
          <c:w val="0.78296637342064357"/>
          <c:h val="0.70323670795629967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'Buntmorot 1'!$C$110:$G$110</c:f>
              <c:numCache>
                <c:formatCode>0</c:formatCode>
                <c:ptCount val="5"/>
                <c:pt idx="0">
                  <c:v>152</c:v>
                </c:pt>
                <c:pt idx="1">
                  <c:v>228</c:v>
                </c:pt>
                <c:pt idx="2">
                  <c:v>304</c:v>
                </c:pt>
                <c:pt idx="3">
                  <c:v>380</c:v>
                </c:pt>
                <c:pt idx="4">
                  <c:v>456</c:v>
                </c:pt>
              </c:numCache>
            </c:numRef>
          </c:xVal>
          <c:yVal>
            <c:numRef>
              <c:f>'Buntmorot 1'!$C$111:$G$111</c:f>
              <c:numCache>
                <c:formatCode>0.00</c:formatCode>
                <c:ptCount val="5"/>
                <c:pt idx="0">
                  <c:v>9.1747867819701714</c:v>
                </c:pt>
                <c:pt idx="1">
                  <c:v>11.325558711794733</c:v>
                </c:pt>
                <c:pt idx="2">
                  <c:v>13.476330641619294</c:v>
                </c:pt>
                <c:pt idx="3">
                  <c:v>15.627102571443855</c:v>
                </c:pt>
                <c:pt idx="4">
                  <c:v>17.777874501268418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3D-4039-9C0E-CC1CED4E0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8768"/>
        <c:axId val="1"/>
      </c:scatterChart>
      <c:valAx>
        <c:axId val="476068768"/>
        <c:scaling>
          <c:orientation val="minMax"/>
          <c:max val="500"/>
          <c:min val="15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Arbete (tim/</a:t>
                </a:r>
                <a:r>
                  <a:rPr lang="sv-SE" sz="1200" b="1" i="0" u="none" strike="noStrike" baseline="0">
                    <a:effectLst/>
                  </a:rPr>
                  <a:t>1000 m²</a:t>
                </a:r>
                <a:r>
                  <a:rPr lang="sv-SE"/>
                  <a:t>)</a:t>
                </a:r>
              </a:p>
            </c:rich>
          </c:tx>
          <c:layout>
            <c:manualLayout>
              <c:xMode val="edge"/>
              <c:yMode val="edge"/>
              <c:x val="0.46531005140249887"/>
              <c:y val="0.916854591103061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Självkostnadspris (kr/bunt)</a:t>
                </a:r>
              </a:p>
            </c:rich>
          </c:tx>
          <c:layout>
            <c:manualLayout>
              <c:xMode val="edge"/>
              <c:yMode val="edge"/>
              <c:x val="2.0566261735620456E-2"/>
              <c:y val="0.313809608942021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7606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Rotgrönsaker i bunt - känslighetsanalys skördenivå</a:t>
            </a:r>
          </a:p>
        </c:rich>
      </c:tx>
      <c:layout>
        <c:manualLayout>
          <c:xMode val="edge"/>
          <c:yMode val="edge"/>
          <c:x val="0.26403868205794662"/>
          <c:y val="3.0043780498660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5176535136498"/>
          <c:y val="0.15880337915090037"/>
          <c:w val="0.77889456084938535"/>
          <c:h val="0.67384136558625296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'Buntmorot 1'!$C$115:$G$115</c:f>
              <c:numCache>
                <c:formatCode>#\ ##0.000</c:formatCode>
                <c:ptCount val="5"/>
                <c:pt idx="0">
                  <c:v>3.5625</c:v>
                </c:pt>
                <c:pt idx="1">
                  <c:v>5.34375</c:v>
                </c:pt>
                <c:pt idx="2">
                  <c:v>7.125</c:v>
                </c:pt>
                <c:pt idx="3">
                  <c:v>8.90625</c:v>
                </c:pt>
                <c:pt idx="4">
                  <c:v>10.6875</c:v>
                </c:pt>
              </c:numCache>
            </c:numRef>
          </c:xVal>
          <c:yVal>
            <c:numRef>
              <c:f>'Buntmorot 1'!$C$125:$G$125</c:f>
              <c:numCache>
                <c:formatCode>0.00</c:formatCode>
                <c:ptCount val="5"/>
                <c:pt idx="0">
                  <c:v>19.207538476221043</c:v>
                </c:pt>
                <c:pt idx="1">
                  <c:v>15.38673325315321</c:v>
                </c:pt>
                <c:pt idx="2">
                  <c:v>13.476330641619295</c:v>
                </c:pt>
                <c:pt idx="3">
                  <c:v>12.330089074698945</c:v>
                </c:pt>
                <c:pt idx="4">
                  <c:v>11.565928030085377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59-4F49-ABE4-1FB311159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9096"/>
        <c:axId val="1"/>
      </c:scatterChart>
      <c:valAx>
        <c:axId val="476069096"/>
        <c:scaling>
          <c:orientation val="minMax"/>
          <c:max val="11"/>
          <c:min val="3.5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Skörd (ton/ha)</a:t>
                </a:r>
              </a:p>
            </c:rich>
          </c:tx>
          <c:layout>
            <c:manualLayout>
              <c:xMode val="edge"/>
              <c:yMode val="edge"/>
              <c:x val="0.47833103993068832"/>
              <c:y val="0.90775440839679211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Självkostnadspris (kr/kg)</a:t>
                </a:r>
              </a:p>
            </c:rich>
          </c:tx>
          <c:layout>
            <c:manualLayout>
              <c:xMode val="edge"/>
              <c:yMode val="edge"/>
              <c:x val="2.0408735315852508E-2"/>
              <c:y val="0.3047308834597113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76069096"/>
        <c:crosses val="autoZero"/>
        <c:crossBetween val="midCat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Rotgrönsaker</a:t>
            </a:r>
            <a:r>
              <a:rPr lang="sv-SE" baseline="0"/>
              <a:t> i bunt</a:t>
            </a:r>
            <a:r>
              <a:rPr lang="sv-SE"/>
              <a:t> - känslighetsanalys arbetsbehov</a:t>
            </a:r>
          </a:p>
        </c:rich>
      </c:tx>
      <c:layout>
        <c:manualLayout>
          <c:xMode val="edge"/>
          <c:yMode val="edge"/>
          <c:x val="0.27507267581772327"/>
          <c:y val="2.835671700958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34914207536861"/>
          <c:y val="0.15543608737296463"/>
          <c:w val="0.78296637342064357"/>
          <c:h val="0.70323670795629967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'Buntlök 1'!$C$110:$G$110</c:f>
              <c:numCache>
                <c:formatCode>0</c:formatCode>
                <c:ptCount val="5"/>
                <c:pt idx="0">
                  <c:v>138.5</c:v>
                </c:pt>
                <c:pt idx="1">
                  <c:v>207.75</c:v>
                </c:pt>
                <c:pt idx="2">
                  <c:v>277</c:v>
                </c:pt>
                <c:pt idx="3">
                  <c:v>346.25</c:v>
                </c:pt>
                <c:pt idx="4">
                  <c:v>415.5</c:v>
                </c:pt>
              </c:numCache>
            </c:numRef>
          </c:xVal>
          <c:yVal>
            <c:numRef>
              <c:f>'Buntlök 1'!$C$111:$G$111</c:f>
              <c:numCache>
                <c:formatCode>0.00</c:formatCode>
                <c:ptCount val="5"/>
                <c:pt idx="0">
                  <c:v>13.516883607377187</c:v>
                </c:pt>
                <c:pt idx="1">
                  <c:v>16.092790040125724</c:v>
                </c:pt>
                <c:pt idx="2">
                  <c:v>18.668696472874263</c:v>
                </c:pt>
                <c:pt idx="3">
                  <c:v>21.244602905622802</c:v>
                </c:pt>
                <c:pt idx="4">
                  <c:v>23.820509338371338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FB5-444C-A583-D22667DA8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8768"/>
        <c:axId val="1"/>
      </c:scatterChart>
      <c:valAx>
        <c:axId val="476068768"/>
        <c:scaling>
          <c:orientation val="minMax"/>
          <c:max val="450"/>
          <c:min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Arbete (tim/</a:t>
                </a:r>
                <a:r>
                  <a:rPr lang="sv-SE" sz="1200" b="1" i="0" u="none" strike="noStrike" baseline="0">
                    <a:effectLst/>
                  </a:rPr>
                  <a:t>1000 m²</a:t>
                </a:r>
                <a:r>
                  <a:rPr lang="sv-SE"/>
                  <a:t>)</a:t>
                </a:r>
              </a:p>
            </c:rich>
          </c:tx>
          <c:layout>
            <c:manualLayout>
              <c:xMode val="edge"/>
              <c:yMode val="edge"/>
              <c:x val="0.46531005140249887"/>
              <c:y val="0.916854591103061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Självkostnadspris (kr/bunt)</a:t>
                </a:r>
              </a:p>
            </c:rich>
          </c:tx>
          <c:layout>
            <c:manualLayout>
              <c:xMode val="edge"/>
              <c:yMode val="edge"/>
              <c:x val="2.0566261735620456E-2"/>
              <c:y val="0.313809608942021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7606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Rotgrönsaker i bunt - känslighetsanalys skördenivå</a:t>
            </a:r>
          </a:p>
        </c:rich>
      </c:tx>
      <c:layout>
        <c:manualLayout>
          <c:xMode val="edge"/>
          <c:yMode val="edge"/>
          <c:x val="0.26403868205794662"/>
          <c:y val="3.0043780498660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5176535136498"/>
          <c:y val="0.15880337915090037"/>
          <c:w val="0.77889456084938535"/>
          <c:h val="0.67384136558625296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'Buntlök 1'!$C$115:$G$115</c:f>
              <c:numCache>
                <c:formatCode>#\ ##0.000</c:formatCode>
                <c:ptCount val="5"/>
                <c:pt idx="0">
                  <c:v>2.1375000000000002</c:v>
                </c:pt>
                <c:pt idx="1">
                  <c:v>3.2062500000000003</c:v>
                </c:pt>
                <c:pt idx="2">
                  <c:v>4.2750000000000004</c:v>
                </c:pt>
                <c:pt idx="3">
                  <c:v>5.34375</c:v>
                </c:pt>
                <c:pt idx="4">
                  <c:v>6.4125000000000005</c:v>
                </c:pt>
              </c:numCache>
            </c:numRef>
          </c:xVal>
          <c:yVal>
            <c:numRef>
              <c:f>'Buntlök 1'!$C$125:$G$125</c:f>
              <c:numCache>
                <c:formatCode>0.00</c:formatCode>
                <c:ptCount val="5"/>
                <c:pt idx="0">
                  <c:v>28.208971893116946</c:v>
                </c:pt>
                <c:pt idx="1">
                  <c:v>21.848788279621822</c:v>
                </c:pt>
                <c:pt idx="2">
                  <c:v>18.668696472874259</c:v>
                </c:pt>
                <c:pt idx="3">
                  <c:v>16.760641388825725</c:v>
                </c:pt>
                <c:pt idx="4">
                  <c:v>15.488604666126701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E7-4749-A578-93303C8B3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9096"/>
        <c:axId val="1"/>
      </c:scatterChart>
      <c:valAx>
        <c:axId val="476069096"/>
        <c:scaling>
          <c:orientation val="minMax"/>
          <c:max val="6.5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Skörd (ton/ha)</a:t>
                </a:r>
              </a:p>
            </c:rich>
          </c:tx>
          <c:layout>
            <c:manualLayout>
              <c:xMode val="edge"/>
              <c:yMode val="edge"/>
              <c:x val="0.47833103993068832"/>
              <c:y val="0.90775440839679211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Självkostnadspris (kr/kg)</a:t>
                </a:r>
              </a:p>
            </c:rich>
          </c:tx>
          <c:layout>
            <c:manualLayout>
              <c:xMode val="edge"/>
              <c:yMode val="edge"/>
              <c:x val="2.0408735315852508E-2"/>
              <c:y val="0.3047308834597113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76069096"/>
        <c:crosses val="autoZero"/>
        <c:crossBetween val="midCat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Ekologisk morot - känslighetsanalys arbetsbehov</a:t>
            </a:r>
          </a:p>
        </c:rich>
      </c:tx>
      <c:layout>
        <c:manualLayout>
          <c:xMode val="edge"/>
          <c:yMode val="edge"/>
          <c:x val="0.27507267581772327"/>
          <c:y val="2.835671700958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016482528725"/>
          <c:y val="0.15543608737296463"/>
          <c:w val="0.84321379041870548"/>
          <c:h val="0.70323670795629967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'Sättlök 1'!$C$110:$G$110</c:f>
              <c:numCache>
                <c:formatCode>0</c:formatCode>
                <c:ptCount val="5"/>
                <c:pt idx="0">
                  <c:v>75.166666666666671</c:v>
                </c:pt>
                <c:pt idx="1">
                  <c:v>112.75</c:v>
                </c:pt>
                <c:pt idx="2">
                  <c:v>150.33333333333334</c:v>
                </c:pt>
                <c:pt idx="3">
                  <c:v>187.91666666666669</c:v>
                </c:pt>
                <c:pt idx="4">
                  <c:v>225.5</c:v>
                </c:pt>
              </c:numCache>
            </c:numRef>
          </c:xVal>
          <c:yVal>
            <c:numRef>
              <c:f>'Sättlök 1'!$C$111:$G$111</c:f>
              <c:numCache>
                <c:formatCode>0.00</c:formatCode>
                <c:ptCount val="5"/>
                <c:pt idx="0">
                  <c:v>13.28095043958648</c:v>
                </c:pt>
                <c:pt idx="1">
                  <c:v>15.256929606253149</c:v>
                </c:pt>
                <c:pt idx="2">
                  <c:v>17.232908772919814</c:v>
                </c:pt>
                <c:pt idx="3">
                  <c:v>19.208887939586482</c:v>
                </c:pt>
                <c:pt idx="4">
                  <c:v>21.184867106253147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0D-4195-8A22-07E923C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8768"/>
        <c:axId val="1"/>
      </c:scatterChart>
      <c:valAx>
        <c:axId val="476068768"/>
        <c:scaling>
          <c:orientation val="minMax"/>
          <c:max val="150"/>
          <c:min val="5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Arbete (tim/</a:t>
                </a:r>
                <a:r>
                  <a:rPr lang="sv-SE" sz="1200" b="1" i="0" u="none" strike="noStrike" baseline="0">
                    <a:effectLst/>
                  </a:rPr>
                  <a:t>1000 m²</a:t>
                </a:r>
                <a:r>
                  <a:rPr lang="sv-SE"/>
                  <a:t>)</a:t>
                </a:r>
              </a:p>
            </c:rich>
          </c:tx>
          <c:layout>
            <c:manualLayout>
              <c:xMode val="edge"/>
              <c:yMode val="edge"/>
              <c:x val="0.46531005140249887"/>
              <c:y val="0.916854591103061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8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Självkostnadspris (kr/kg)</a:t>
                </a:r>
              </a:p>
            </c:rich>
          </c:tx>
          <c:layout>
            <c:manualLayout>
              <c:xMode val="edge"/>
              <c:yMode val="edge"/>
              <c:x val="2.0566261735620456E-2"/>
              <c:y val="0.313809608942021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7606876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Ekologisk morot - känslighetsanalys skördenivå</a:t>
            </a:r>
          </a:p>
        </c:rich>
      </c:tx>
      <c:layout>
        <c:manualLayout>
          <c:xMode val="edge"/>
          <c:yMode val="edge"/>
          <c:x val="0.26403868205794662"/>
          <c:y val="3.0043780498660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49387751053475"/>
          <c:y val="0.15880337915090037"/>
          <c:w val="0.8159237627314222"/>
          <c:h val="0.67384136558625296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'Sättlök 1'!$C$115:$G$115</c:f>
              <c:numCache>
                <c:formatCode>#\ ##0.0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xVal>
          <c:yVal>
            <c:numRef>
              <c:f>'Sättlök 1'!$C$125:$G$125</c:f>
              <c:numCache>
                <c:formatCode>0.00</c:formatCode>
                <c:ptCount val="5"/>
                <c:pt idx="0">
                  <c:v>26.031206434728521</c:v>
                </c:pt>
                <c:pt idx="1">
                  <c:v>20.165674660189381</c:v>
                </c:pt>
                <c:pt idx="2">
                  <c:v>17.232908772919814</c:v>
                </c:pt>
                <c:pt idx="3">
                  <c:v>15.473249240558074</c:v>
                </c:pt>
                <c:pt idx="4">
                  <c:v>14.300142885650247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5D7-4A55-BE70-72FBA96D0125}"/>
            </c:ext>
          </c:extLst>
        </c:ser>
        <c:ser>
          <c:idx val="1"/>
          <c:order val="1"/>
          <c:yVal>
            <c:numRef>
              <c:f>'Sättlök 1'!$D$125</c:f>
              <c:numCache>
                <c:formatCode>0.00</c:formatCode>
                <c:ptCount val="1"/>
                <c:pt idx="0">
                  <c:v>20.165674660189381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5D7-4A55-BE70-72FBA96D0125}"/>
            </c:ext>
          </c:extLst>
        </c:ser>
        <c:ser>
          <c:idx val="2"/>
          <c:order val="2"/>
          <c:yVal>
            <c:numRef>
              <c:f>'Sättlök 1'!$E$125</c:f>
              <c:numCache>
                <c:formatCode>0.00</c:formatCode>
                <c:ptCount val="1"/>
                <c:pt idx="0">
                  <c:v>17.232908772919814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5D7-4A55-BE70-72FBA96D0125}"/>
            </c:ext>
          </c:extLst>
        </c:ser>
        <c:ser>
          <c:idx val="3"/>
          <c:order val="3"/>
          <c:yVal>
            <c:numRef>
              <c:f>'Sättlök 1'!$F$125</c:f>
              <c:numCache>
                <c:formatCode>0.00</c:formatCode>
                <c:ptCount val="1"/>
                <c:pt idx="0">
                  <c:v>15.473249240558074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5D7-4A55-BE70-72FBA96D0125}"/>
            </c:ext>
          </c:extLst>
        </c:ser>
        <c:ser>
          <c:idx val="4"/>
          <c:order val="4"/>
          <c:yVal>
            <c:numRef>
              <c:f>'Sättlök 1'!$G$125</c:f>
              <c:numCache>
                <c:formatCode>0.00</c:formatCode>
                <c:ptCount val="1"/>
                <c:pt idx="0">
                  <c:v>14.300142885650247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5D7-4A55-BE70-72FBA96D0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9096"/>
        <c:axId val="1"/>
      </c:scatterChart>
      <c:valAx>
        <c:axId val="476069096"/>
        <c:scaling>
          <c:orientation val="minMax"/>
          <c:max val="5.5"/>
          <c:min val="1.5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Skörd (ton/1000 m²)</a:t>
                </a:r>
              </a:p>
            </c:rich>
          </c:tx>
          <c:layout>
            <c:manualLayout>
              <c:xMode val="edge"/>
              <c:yMode val="edge"/>
              <c:x val="0.47833103993068832"/>
              <c:y val="0.907754408396792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7"/>
          <c:min val="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Självkostnadspris (kr/kg)</a:t>
                </a:r>
              </a:p>
            </c:rich>
          </c:tx>
          <c:layout>
            <c:manualLayout>
              <c:xMode val="edge"/>
              <c:yMode val="edge"/>
              <c:x val="2.0408735315852508E-2"/>
              <c:y val="0.3047308834597113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76069096"/>
        <c:crosses val="autoZero"/>
        <c:crossBetween val="midCat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182880</xdr:colOff>
      <xdr:row>2</xdr:row>
      <xdr:rowOff>94615</xdr:rowOff>
    </xdr:from>
    <xdr:to>
      <xdr:col>18</xdr:col>
      <xdr:colOff>598805</xdr:colOff>
      <xdr:row>41</xdr:row>
      <xdr:rowOff>60960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8A5D1427-5502-480D-801C-EC117C072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353694</xdr:colOff>
      <xdr:row>94</xdr:row>
      <xdr:rowOff>76200</xdr:rowOff>
    </xdr:from>
    <xdr:to>
      <xdr:col>20</xdr:col>
      <xdr:colOff>304799</xdr:colOff>
      <xdr:row>130</xdr:row>
      <xdr:rowOff>0</xdr:rowOff>
    </xdr:to>
    <xdr:graphicFrame macro="">
      <xdr:nvGraphicFramePr>
        <xdr:cNvPr id="3" name="Diagram 5">
          <a:extLst>
            <a:ext uri="{FF2B5EF4-FFF2-40B4-BE49-F238E27FC236}">
              <a16:creationId xmlns:a16="http://schemas.microsoft.com/office/drawing/2014/main" id="{28E9F914-1062-42C2-876A-7ED36E288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182880</xdr:colOff>
      <xdr:row>2</xdr:row>
      <xdr:rowOff>94615</xdr:rowOff>
    </xdr:from>
    <xdr:to>
      <xdr:col>18</xdr:col>
      <xdr:colOff>598805</xdr:colOff>
      <xdr:row>42</xdr:row>
      <xdr:rowOff>60960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A0DB64F0-A8B2-48CA-A3B8-43130A059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336549</xdr:colOff>
      <xdr:row>96</xdr:row>
      <xdr:rowOff>106680</xdr:rowOff>
    </xdr:from>
    <xdr:to>
      <xdr:col>20</xdr:col>
      <xdr:colOff>289559</xdr:colOff>
      <xdr:row>132</xdr:row>
      <xdr:rowOff>30480</xdr:rowOff>
    </xdr:to>
    <xdr:graphicFrame macro="">
      <xdr:nvGraphicFramePr>
        <xdr:cNvPr id="3" name="Diagram 5">
          <a:extLst>
            <a:ext uri="{FF2B5EF4-FFF2-40B4-BE49-F238E27FC236}">
              <a16:creationId xmlns:a16="http://schemas.microsoft.com/office/drawing/2014/main" id="{FD97CDC1-7161-4AF3-9A08-7E6B7CDC5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133350</xdr:rowOff>
    </xdr:from>
    <xdr:to>
      <xdr:col>10</xdr:col>
      <xdr:colOff>390525</xdr:colOff>
      <xdr:row>27</xdr:row>
      <xdr:rowOff>19050</xdr:rowOff>
    </xdr:to>
    <xdr:graphicFrame macro="">
      <xdr:nvGraphicFramePr>
        <xdr:cNvPr id="14347" name="Chart 2">
          <a:extLst>
            <a:ext uri="{FF2B5EF4-FFF2-40B4-BE49-F238E27FC236}">
              <a16:creationId xmlns:a16="http://schemas.microsoft.com/office/drawing/2014/main" id="{5DF7278E-921B-4019-A870-3090C4DE6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278130</xdr:colOff>
      <xdr:row>5</xdr:row>
      <xdr:rowOff>41275</xdr:rowOff>
    </xdr:from>
    <xdr:to>
      <xdr:col>21</xdr:col>
      <xdr:colOff>325755</xdr:colOff>
      <xdr:row>44</xdr:row>
      <xdr:rowOff>5715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57734A97-EC12-4972-A159-661B4D7480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349884</xdr:colOff>
      <xdr:row>94</xdr:row>
      <xdr:rowOff>76200</xdr:rowOff>
    </xdr:from>
    <xdr:to>
      <xdr:col>23</xdr:col>
      <xdr:colOff>411480</xdr:colOff>
      <xdr:row>130</xdr:row>
      <xdr:rowOff>0</xdr:rowOff>
    </xdr:to>
    <xdr:graphicFrame macro="">
      <xdr:nvGraphicFramePr>
        <xdr:cNvPr id="3" name="Diagram 5">
          <a:extLst>
            <a:ext uri="{FF2B5EF4-FFF2-40B4-BE49-F238E27FC236}">
              <a16:creationId xmlns:a16="http://schemas.microsoft.com/office/drawing/2014/main" id="{6E47F4CF-CDEF-44DA-82D9-69F078169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278130</xdr:colOff>
      <xdr:row>5</xdr:row>
      <xdr:rowOff>41275</xdr:rowOff>
    </xdr:from>
    <xdr:to>
      <xdr:col>21</xdr:col>
      <xdr:colOff>325755</xdr:colOff>
      <xdr:row>44</xdr:row>
      <xdr:rowOff>5715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CFAB5A1D-894F-4C27-AC96-EF6B3149A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546099</xdr:colOff>
      <xdr:row>91</xdr:row>
      <xdr:rowOff>152400</xdr:rowOff>
    </xdr:from>
    <xdr:to>
      <xdr:col>23</xdr:col>
      <xdr:colOff>1905</xdr:colOff>
      <xdr:row>128</xdr:row>
      <xdr:rowOff>83820</xdr:rowOff>
    </xdr:to>
    <xdr:graphicFrame macro="">
      <xdr:nvGraphicFramePr>
        <xdr:cNvPr id="3" name="Diagram 5">
          <a:extLst>
            <a:ext uri="{FF2B5EF4-FFF2-40B4-BE49-F238E27FC236}">
              <a16:creationId xmlns:a16="http://schemas.microsoft.com/office/drawing/2014/main" id="{1CCC9C3D-FB34-4DD0-AD21-98522CA99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182880</xdr:colOff>
      <xdr:row>2</xdr:row>
      <xdr:rowOff>94615</xdr:rowOff>
    </xdr:from>
    <xdr:to>
      <xdr:col>18</xdr:col>
      <xdr:colOff>598805</xdr:colOff>
      <xdr:row>41</xdr:row>
      <xdr:rowOff>60960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83CA1E2E-5972-427B-9421-A888DB726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353694</xdr:colOff>
      <xdr:row>94</xdr:row>
      <xdr:rowOff>76200</xdr:rowOff>
    </xdr:from>
    <xdr:to>
      <xdr:col>20</xdr:col>
      <xdr:colOff>304799</xdr:colOff>
      <xdr:row>130</xdr:row>
      <xdr:rowOff>0</xdr:rowOff>
    </xdr:to>
    <xdr:graphicFrame macro="">
      <xdr:nvGraphicFramePr>
        <xdr:cNvPr id="3" name="Diagram 5">
          <a:extLst>
            <a:ext uri="{FF2B5EF4-FFF2-40B4-BE49-F238E27FC236}">
              <a16:creationId xmlns:a16="http://schemas.microsoft.com/office/drawing/2014/main" id="{25FF4165-3AE3-42EB-B2BC-4640CA9D9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603885</xdr:colOff>
      <xdr:row>2</xdr:row>
      <xdr:rowOff>113665</xdr:rowOff>
    </xdr:from>
    <xdr:to>
      <xdr:col>20</xdr:col>
      <xdr:colOff>410210</xdr:colOff>
      <xdr:row>41</xdr:row>
      <xdr:rowOff>80010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51C4AD8A-FC5A-43B8-8844-7F8C86CBC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353694</xdr:colOff>
      <xdr:row>94</xdr:row>
      <xdr:rowOff>76200</xdr:rowOff>
    </xdr:from>
    <xdr:to>
      <xdr:col>20</xdr:col>
      <xdr:colOff>304799</xdr:colOff>
      <xdr:row>130</xdr:row>
      <xdr:rowOff>0</xdr:rowOff>
    </xdr:to>
    <xdr:graphicFrame macro="">
      <xdr:nvGraphicFramePr>
        <xdr:cNvPr id="3" name="Diagram 5">
          <a:extLst>
            <a:ext uri="{FF2B5EF4-FFF2-40B4-BE49-F238E27FC236}">
              <a16:creationId xmlns:a16="http://schemas.microsoft.com/office/drawing/2014/main" id="{336B49D0-7357-403C-89B5-27E9022D0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190500</xdr:rowOff>
    </xdr:from>
    <xdr:to>
      <xdr:col>11</xdr:col>
      <xdr:colOff>238125</xdr:colOff>
      <xdr:row>25</xdr:row>
      <xdr:rowOff>0</xdr:rowOff>
    </xdr:to>
    <xdr:graphicFrame macro="">
      <xdr:nvGraphicFramePr>
        <xdr:cNvPr id="12299" name="Chart 2">
          <a:extLst>
            <a:ext uri="{FF2B5EF4-FFF2-40B4-BE49-F238E27FC236}">
              <a16:creationId xmlns:a16="http://schemas.microsoft.com/office/drawing/2014/main" id="{29638195-17D5-4C28-BBB2-2FAA264CE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182880</xdr:colOff>
      <xdr:row>2</xdr:row>
      <xdr:rowOff>94615</xdr:rowOff>
    </xdr:from>
    <xdr:to>
      <xdr:col>18</xdr:col>
      <xdr:colOff>598805</xdr:colOff>
      <xdr:row>41</xdr:row>
      <xdr:rowOff>60960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881ECCAB-CAC2-4370-AA29-640351A14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353694</xdr:colOff>
      <xdr:row>94</xdr:row>
      <xdr:rowOff>76200</xdr:rowOff>
    </xdr:from>
    <xdr:to>
      <xdr:col>20</xdr:col>
      <xdr:colOff>304799</xdr:colOff>
      <xdr:row>130</xdr:row>
      <xdr:rowOff>0</xdr:rowOff>
    </xdr:to>
    <xdr:graphicFrame macro="">
      <xdr:nvGraphicFramePr>
        <xdr:cNvPr id="3" name="Diagram 5">
          <a:extLst>
            <a:ext uri="{FF2B5EF4-FFF2-40B4-BE49-F238E27FC236}">
              <a16:creationId xmlns:a16="http://schemas.microsoft.com/office/drawing/2014/main" id="{1E9F14CA-CFC1-4B87-B21F-A8DE15265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182880</xdr:colOff>
      <xdr:row>2</xdr:row>
      <xdr:rowOff>94615</xdr:rowOff>
    </xdr:from>
    <xdr:to>
      <xdr:col>18</xdr:col>
      <xdr:colOff>598805</xdr:colOff>
      <xdr:row>41</xdr:row>
      <xdr:rowOff>60960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C2AAE50C-A8A7-487C-942F-A7CB1DA47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353694</xdr:colOff>
      <xdr:row>94</xdr:row>
      <xdr:rowOff>76200</xdr:rowOff>
    </xdr:from>
    <xdr:to>
      <xdr:col>20</xdr:col>
      <xdr:colOff>304799</xdr:colOff>
      <xdr:row>130</xdr:row>
      <xdr:rowOff>0</xdr:rowOff>
    </xdr:to>
    <xdr:graphicFrame macro="">
      <xdr:nvGraphicFramePr>
        <xdr:cNvPr id="3" name="Diagram 5">
          <a:extLst>
            <a:ext uri="{FF2B5EF4-FFF2-40B4-BE49-F238E27FC236}">
              <a16:creationId xmlns:a16="http://schemas.microsoft.com/office/drawing/2014/main" id="{F6A894F4-5B02-4C25-9301-6A755E129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D6E2D-AD55-439B-A10D-D82A7E07D370}">
  <dimension ref="A1:Q64"/>
  <sheetViews>
    <sheetView topLeftCell="A52" zoomScaleNormal="100" workbookViewId="0">
      <selection activeCell="E33" sqref="E33:E35"/>
    </sheetView>
  </sheetViews>
  <sheetFormatPr defaultRowHeight="12.75" x14ac:dyDescent="0.2"/>
  <cols>
    <col min="1" max="1" width="29.140625" style="157" customWidth="1"/>
    <col min="2" max="2" width="9.28515625" style="157" bestFit="1" customWidth="1"/>
    <col min="3" max="3" width="11.85546875" style="157" customWidth="1"/>
    <col min="4" max="6" width="9.28515625" style="157" bestFit="1" customWidth="1"/>
    <col min="7" max="7" width="12.5703125" style="157" bestFit="1" customWidth="1"/>
    <col min="8" max="11" width="12" style="157" bestFit="1" customWidth="1"/>
    <col min="12" max="12" width="14.140625" style="157" customWidth="1"/>
    <col min="13" max="13" width="13.85546875" style="157" customWidth="1"/>
    <col min="14" max="14" width="12" style="157" bestFit="1" customWidth="1"/>
    <col min="15" max="16384" width="9.140625" style="157"/>
  </cols>
  <sheetData>
    <row r="1" spans="1:15" ht="15.75" x14ac:dyDescent="0.25">
      <c r="A1" s="20" t="s">
        <v>152</v>
      </c>
      <c r="B1" s="20"/>
      <c r="C1" s="20" t="s">
        <v>218</v>
      </c>
      <c r="E1" s="20"/>
      <c r="F1" s="20">
        <v>2019</v>
      </c>
      <c r="G1" s="95"/>
    </row>
    <row r="3" spans="1:15" x14ac:dyDescent="0.2">
      <c r="A3" s="157" t="s">
        <v>153</v>
      </c>
      <c r="C3" s="157" t="s">
        <v>154</v>
      </c>
      <c r="D3" s="157" t="s">
        <v>155</v>
      </c>
      <c r="E3" s="157" t="s">
        <v>156</v>
      </c>
      <c r="F3" s="157" t="s">
        <v>155</v>
      </c>
      <c r="G3" s="157" t="s">
        <v>116</v>
      </c>
      <c r="H3" s="157" t="s">
        <v>157</v>
      </c>
      <c r="I3" s="157" t="s">
        <v>158</v>
      </c>
      <c r="J3" s="157" t="s">
        <v>159</v>
      </c>
      <c r="K3" s="157" t="s">
        <v>160</v>
      </c>
      <c r="L3" s="157" t="s">
        <v>161</v>
      </c>
      <c r="M3" s="157" t="s">
        <v>134</v>
      </c>
      <c r="N3" s="157" t="s">
        <v>121</v>
      </c>
    </row>
    <row r="4" spans="1:15" x14ac:dyDescent="0.2">
      <c r="B4" s="15" t="s">
        <v>283</v>
      </c>
      <c r="C4" s="155" t="s">
        <v>289</v>
      </c>
      <c r="D4" s="157" t="s">
        <v>38</v>
      </c>
      <c r="E4" s="155" t="s">
        <v>292</v>
      </c>
      <c r="F4" s="155" t="s">
        <v>292</v>
      </c>
      <c r="G4" s="155" t="s">
        <v>294</v>
      </c>
      <c r="H4" s="157" t="s">
        <v>20</v>
      </c>
      <c r="I4" s="157" t="s">
        <v>20</v>
      </c>
      <c r="J4" s="157" t="s">
        <v>20</v>
      </c>
      <c r="K4" s="157" t="s">
        <v>20</v>
      </c>
      <c r="L4" s="157" t="s">
        <v>20</v>
      </c>
      <c r="M4" s="157" t="s">
        <v>20</v>
      </c>
      <c r="N4" s="157" t="s">
        <v>20</v>
      </c>
    </row>
    <row r="6" spans="1:15" x14ac:dyDescent="0.2">
      <c r="A6" s="155" t="s">
        <v>290</v>
      </c>
      <c r="B6" s="157">
        <v>1000</v>
      </c>
      <c r="C6" s="13">
        <f>Grunduppgifter!C6</f>
        <v>5500</v>
      </c>
      <c r="D6" s="2">
        <f>Grunduppgifter!D6</f>
        <v>0.7</v>
      </c>
      <c r="E6" s="13">
        <f t="shared" ref="E6:E13" si="0">C6*B6/1000</f>
        <v>5500</v>
      </c>
      <c r="F6" s="13">
        <f t="shared" ref="F6:F13" si="1">D6*E6</f>
        <v>3849.9999999999995</v>
      </c>
      <c r="G6" s="4">
        <f>'Morot 1'!$D$9</f>
        <v>16.437045270566042</v>
      </c>
      <c r="H6" s="13">
        <f>'Morot 1'!$E$11*B6/1000</f>
        <v>63782.624291679254</v>
      </c>
      <c r="I6" s="13">
        <f>'Morot 1'!$E$35*B6/1000</f>
        <v>21440.740127665427</v>
      </c>
      <c r="J6" s="13">
        <f>'Morot 1'!$E$42*B6/1000</f>
        <v>8753.5555555555547</v>
      </c>
      <c r="K6" s="13">
        <f>'Morot 1'!$E$49*B6/1000</f>
        <v>1516.567181252904</v>
      </c>
      <c r="L6" s="13">
        <f>'Morot 1'!$E$59*B6/1000</f>
        <v>8137.2159726599157</v>
      </c>
      <c r="M6" s="13">
        <f>'Morot 1'!$E$64*B6/1000</f>
        <v>18480</v>
      </c>
      <c r="N6" s="13">
        <f>'Morot 1'!$E$71*B6/1000</f>
        <v>5454.545454545455</v>
      </c>
      <c r="O6" s="13"/>
    </row>
    <row r="7" spans="1:15" x14ac:dyDescent="0.2">
      <c r="A7" s="155" t="s">
        <v>291</v>
      </c>
      <c r="B7" s="157">
        <v>1000</v>
      </c>
      <c r="C7" s="13">
        <f>Grunduppgifter!C7</f>
        <v>7500</v>
      </c>
      <c r="D7" s="2">
        <f>Grunduppgifter!D7</f>
        <v>0.95</v>
      </c>
      <c r="E7" s="13">
        <f t="shared" si="0"/>
        <v>7500</v>
      </c>
      <c r="F7" s="13">
        <f t="shared" si="1"/>
        <v>7125</v>
      </c>
      <c r="G7" s="4">
        <f>'Buntmorot 1'!D9</f>
        <v>13.476330641619294</v>
      </c>
      <c r="H7" s="13">
        <f>'Buntmorot 1'!E11*B7/1000</f>
        <v>96518.855821537465</v>
      </c>
      <c r="I7" s="13">
        <f>'Buntmorot 1'!E35*B7/1000</f>
        <v>21137.677727665428</v>
      </c>
      <c r="J7" s="13">
        <f>'Buntmorot 1'!E42*B7/1000</f>
        <v>49550</v>
      </c>
      <c r="K7" s="13">
        <f>'Buntmorot 1'!E49*B7/1000</f>
        <v>0</v>
      </c>
      <c r="L7" s="13">
        <f>'Buntmorot 1'!E59*B7/1000</f>
        <v>1896.6326393265826</v>
      </c>
      <c r="M7" s="13">
        <f>'Buntmorot 1'!E64*B7/1000</f>
        <v>18480</v>
      </c>
      <c r="N7" s="13">
        <f>'Buntmorot 1'!E71*B7/1000</f>
        <v>5454.545454545455</v>
      </c>
      <c r="O7" s="13"/>
    </row>
    <row r="8" spans="1:15" x14ac:dyDescent="0.2">
      <c r="A8" s="155" t="s">
        <v>75</v>
      </c>
      <c r="B8" s="157">
        <v>1000</v>
      </c>
      <c r="C8" s="13">
        <f>Grunduppgifter!C8</f>
        <v>4500</v>
      </c>
      <c r="D8" s="2">
        <f>Grunduppgifter!D8</f>
        <v>0.95</v>
      </c>
      <c r="E8" s="13">
        <f t="shared" si="0"/>
        <v>4500</v>
      </c>
      <c r="F8" s="13">
        <f t="shared" si="1"/>
        <v>4275</v>
      </c>
      <c r="G8" s="4">
        <f>'Buntlök 1'!D9</f>
        <v>18.668696472874263</v>
      </c>
      <c r="H8" s="13">
        <f>'Buntlök 1'!E11*B8/1000</f>
        <v>80308.677421537475</v>
      </c>
      <c r="I8" s="13">
        <f>'Buntlök 1'!E35*B8/1000</f>
        <v>25051.499327665431</v>
      </c>
      <c r="J8" s="13">
        <f>'Buntlök 1'!E42*B8/1000</f>
        <v>29730</v>
      </c>
      <c r="K8" s="13">
        <f>'Buntlök 1'!E49*B8/1000</f>
        <v>0</v>
      </c>
      <c r="L8" s="13">
        <f>'Buntlök 1'!E59*B8/1000</f>
        <v>1592.6326393265826</v>
      </c>
      <c r="M8" s="13">
        <f>'Buntlök 1'!E64*B8/1000</f>
        <v>18480</v>
      </c>
      <c r="N8" s="13">
        <f>'Buntlök 1'!E71*B8/1000</f>
        <v>5454.545454545455</v>
      </c>
      <c r="O8" s="13"/>
    </row>
    <row r="9" spans="1:15" x14ac:dyDescent="0.2">
      <c r="A9" s="155" t="s">
        <v>69</v>
      </c>
      <c r="B9" s="157">
        <v>1000</v>
      </c>
      <c r="C9" s="13">
        <f>Grunduppgifter!C9</f>
        <v>5000</v>
      </c>
      <c r="D9" s="2">
        <f>Grunduppgifter!D9</f>
        <v>0.8</v>
      </c>
      <c r="E9" s="13">
        <f t="shared" si="0"/>
        <v>5000</v>
      </c>
      <c r="F9" s="13">
        <f t="shared" si="1"/>
        <v>4000</v>
      </c>
      <c r="G9" s="4">
        <f>'Sättlök 1'!D9</f>
        <v>17.232908772919814</v>
      </c>
      <c r="H9" s="13">
        <f>'Sättlök 1'!E11*B9/1000</f>
        <v>69431.635091679258</v>
      </c>
      <c r="I9" s="13">
        <f>'Sättlök 1'!E35*B9/1000</f>
        <v>22710.000927665431</v>
      </c>
      <c r="J9" s="13">
        <f>'Sättlök 1'!E42*B9/1000</f>
        <v>9947.2222222222226</v>
      </c>
      <c r="K9" s="13">
        <f>'Sättlök 1'!E49*B9/1000</f>
        <v>1390.567181252904</v>
      </c>
      <c r="L9" s="13">
        <f>'Sättlök 1'!E59*B9/1000</f>
        <v>11449.299305993247</v>
      </c>
      <c r="M9" s="13">
        <f>'Sättlök 1'!E64*B9/1000</f>
        <v>18480</v>
      </c>
      <c r="N9" s="13">
        <f>'Sättlök 1'!E71*B9/1000</f>
        <v>5454.545454545455</v>
      </c>
      <c r="O9" s="13"/>
    </row>
    <row r="10" spans="1:15" x14ac:dyDescent="0.2">
      <c r="A10" s="157" t="s">
        <v>162</v>
      </c>
      <c r="B10" s="157">
        <v>1000</v>
      </c>
      <c r="C10" s="13">
        <f>Grunduppgifter!C10</f>
        <v>1000</v>
      </c>
      <c r="D10" s="2">
        <f>Grunduppgifter!D10</f>
        <v>0.95</v>
      </c>
      <c r="E10" s="13">
        <f t="shared" si="0"/>
        <v>1000</v>
      </c>
      <c r="F10" s="13">
        <f t="shared" si="1"/>
        <v>950</v>
      </c>
      <c r="G10" s="4">
        <f>'Broccoli 1 '!D9</f>
        <v>58.52238879460085</v>
      </c>
      <c r="H10" s="13">
        <f>'Broccoli 1 '!E11*B10/1000</f>
        <v>56096.269354870805</v>
      </c>
      <c r="I10" s="13">
        <f>'Broccoli 1 '!E35*B10/1000</f>
        <v>22747.757927665429</v>
      </c>
      <c r="J10" s="13">
        <f>'Broccoli 1 '!E42*B10/1000</f>
        <v>8408</v>
      </c>
      <c r="K10" s="13">
        <f>'Broccoli 1 '!E49*B10/1000</f>
        <v>0</v>
      </c>
      <c r="L10" s="13">
        <f>'Broccoli 1 '!E59*B10/1000</f>
        <v>1005.9659726599159</v>
      </c>
      <c r="M10" s="13">
        <f>'Broccoli 1 '!E64*B10/1000</f>
        <v>18480</v>
      </c>
      <c r="N10" s="13">
        <f>'Broccoli 1 '!E71*B10/1000</f>
        <v>5454.545454545455</v>
      </c>
      <c r="O10" s="13"/>
    </row>
    <row r="11" spans="1:15" x14ac:dyDescent="0.2">
      <c r="A11" s="157" t="s">
        <v>163</v>
      </c>
      <c r="B11" s="157">
        <v>1000</v>
      </c>
      <c r="C11" s="13">
        <f>Grunduppgifter!C11</f>
        <v>6000</v>
      </c>
      <c r="D11" s="2">
        <f>Grunduppgifter!D11</f>
        <v>0.8</v>
      </c>
      <c r="E11" s="13">
        <f t="shared" si="0"/>
        <v>6000</v>
      </c>
      <c r="F11" s="13">
        <f t="shared" si="1"/>
        <v>4800</v>
      </c>
      <c r="G11" s="4">
        <f>'Vitkål 1 '!D9</f>
        <v>12.899734792247994</v>
      </c>
      <c r="H11" s="13">
        <f>'Vitkål 1 '!E11*B11/1000</f>
        <v>62418.727002790372</v>
      </c>
      <c r="I11" s="13">
        <f>'Vitkål 1 '!E35*B11/1000</f>
        <v>24270.301727665432</v>
      </c>
      <c r="J11" s="13">
        <f>'Vitkål 1 '!E42*B11/1000</f>
        <v>6307</v>
      </c>
      <c r="K11" s="13">
        <f>'Vitkål 1 '!E49*B11/1000</f>
        <v>1546.567181252904</v>
      </c>
      <c r="L11" s="13">
        <f>'Vitkål 1 '!E59*B11/1000</f>
        <v>6360.3126393265829</v>
      </c>
      <c r="M11" s="13">
        <f>'Vitkål 1 '!E64*B11/1000</f>
        <v>18480</v>
      </c>
      <c r="N11" s="13">
        <f>'Vitkål 1 '!E71*B11/1000</f>
        <v>5454.545454545455</v>
      </c>
      <c r="O11" s="13"/>
    </row>
    <row r="12" spans="1:15" x14ac:dyDescent="0.2">
      <c r="A12" s="155" t="s">
        <v>80</v>
      </c>
      <c r="B12" s="157">
        <v>1000</v>
      </c>
      <c r="C12" s="13">
        <f>Grunduppgifter!C12</f>
        <v>1000</v>
      </c>
      <c r="D12" s="2">
        <f>Grunduppgifter!D12</f>
        <v>0.95</v>
      </c>
      <c r="E12" s="13">
        <f t="shared" si="0"/>
        <v>1000</v>
      </c>
      <c r="F12" s="13">
        <f t="shared" si="1"/>
        <v>950</v>
      </c>
      <c r="G12" s="4">
        <f>'Brytböna 1'!D9</f>
        <v>72.924942208134667</v>
      </c>
      <c r="H12" s="13">
        <f>'Brytböna 1'!E11*B12/1000</f>
        <v>69778.695097727934</v>
      </c>
      <c r="I12" s="13">
        <f>'Brytböna 1'!E35*B12/1000</f>
        <v>20000.826527665427</v>
      </c>
      <c r="J12" s="13">
        <f>'Brytböna 1'!E42*B12/1000</f>
        <v>24938.690476190477</v>
      </c>
      <c r="K12" s="13">
        <f>'Brytböna 1'!E49*B12/1000</f>
        <v>0</v>
      </c>
      <c r="L12" s="13">
        <f>'Brytböna 1'!E59*B12/1000</f>
        <v>904.63263932658253</v>
      </c>
      <c r="M12" s="13">
        <f>'Brytböna 1'!E64*B12/1000</f>
        <v>18480</v>
      </c>
      <c r="N12" s="13">
        <f>'Brytböna 1'!E71*B12/1000</f>
        <v>5454.545454545455</v>
      </c>
      <c r="O12" s="13"/>
    </row>
    <row r="13" spans="1:15" x14ac:dyDescent="0.2">
      <c r="A13" s="155" t="s">
        <v>71</v>
      </c>
      <c r="B13" s="157">
        <v>1000</v>
      </c>
      <c r="C13" s="13">
        <f>Grunduppgifter!C13</f>
        <v>600</v>
      </c>
      <c r="D13" s="2">
        <f>Grunduppgifter!D13</f>
        <v>0.95</v>
      </c>
      <c r="E13" s="13">
        <f t="shared" si="0"/>
        <v>600</v>
      </c>
      <c r="F13" s="13">
        <f t="shared" si="1"/>
        <v>570</v>
      </c>
      <c r="G13" s="4">
        <f>'Sockerärt 1'!D9</f>
        <v>168.71359875123531</v>
      </c>
      <c r="H13" s="13">
        <f>'Sockerärt 1'!E11*B13/1000</f>
        <v>96666.751288204134</v>
      </c>
      <c r="I13" s="13">
        <f>'Sockerärt 1'!E36*B13/1000</f>
        <v>32081.706527665428</v>
      </c>
      <c r="J13" s="13">
        <f>'Sockerärt 1'!E43*B13/1000</f>
        <v>39806.666666666664</v>
      </c>
      <c r="K13" s="13">
        <f>'Sockerärt 1'!E50*B13/1000</f>
        <v>0</v>
      </c>
      <c r="L13" s="13">
        <f>'Sockerärt 1'!E60*B13/1000</f>
        <v>843.83263932658258</v>
      </c>
      <c r="M13" s="13">
        <f>'Sockerärt 1'!E65*B13/1000</f>
        <v>18480</v>
      </c>
      <c r="N13" s="13">
        <f>'Sockerärt 1'!E72*B13/1000</f>
        <v>5454.545454545455</v>
      </c>
      <c r="O13" s="13"/>
    </row>
    <row r="14" spans="1:15" x14ac:dyDescent="0.2">
      <c r="A14" s="157" t="s">
        <v>62</v>
      </c>
      <c r="B14" s="221">
        <v>1000</v>
      </c>
    </row>
    <row r="15" spans="1:15" ht="13.5" thickBot="1" x14ac:dyDescent="0.25">
      <c r="A15" s="98" t="s">
        <v>164</v>
      </c>
      <c r="B15" s="24">
        <f>Grunduppgifter!B15</f>
        <v>19000</v>
      </c>
      <c r="C15" s="102"/>
      <c r="D15" s="102"/>
      <c r="E15" s="102"/>
      <c r="F15" s="102"/>
      <c r="G15" s="103"/>
      <c r="H15" s="102"/>
      <c r="I15" s="102"/>
      <c r="J15" s="104"/>
      <c r="K15" s="104"/>
      <c r="L15" s="104"/>
      <c r="M15" s="104"/>
      <c r="N15" s="102"/>
    </row>
    <row r="16" spans="1:15" x14ac:dyDescent="0.2">
      <c r="A16" s="157" t="s">
        <v>165</v>
      </c>
      <c r="B16" s="157">
        <f>SUM(B6:B15)</f>
        <v>28000</v>
      </c>
      <c r="H16" s="13">
        <f t="shared" ref="H16:N16" si="2">SUM(H6:H15)</f>
        <v>595002.23537002667</v>
      </c>
      <c r="I16" s="13">
        <f t="shared" si="2"/>
        <v>189440.51082132343</v>
      </c>
      <c r="J16" s="13">
        <f t="shared" si="2"/>
        <v>177441.13492063491</v>
      </c>
      <c r="K16" s="13">
        <f t="shared" si="2"/>
        <v>4453.7015437587124</v>
      </c>
      <c r="L16" s="13">
        <f t="shared" si="2"/>
        <v>32190.524447945991</v>
      </c>
      <c r="M16" s="13">
        <f t="shared" si="2"/>
        <v>147840</v>
      </c>
      <c r="N16" s="13">
        <f t="shared" si="2"/>
        <v>43636.36363636364</v>
      </c>
    </row>
    <row r="17" spans="1:17" x14ac:dyDescent="0.2">
      <c r="A17" s="157" t="s">
        <v>166</v>
      </c>
      <c r="B17" s="157">
        <f>SUM(B6:B13)</f>
        <v>8000</v>
      </c>
      <c r="H17" s="13">
        <f t="shared" ref="H17:N17" si="3">SUM(H6:H13)</f>
        <v>595002.23537002667</v>
      </c>
      <c r="I17" s="13">
        <f t="shared" si="3"/>
        <v>189440.51082132343</v>
      </c>
      <c r="J17" s="13">
        <f t="shared" si="3"/>
        <v>177441.13492063491</v>
      </c>
      <c r="K17" s="13">
        <f t="shared" si="3"/>
        <v>4453.7015437587124</v>
      </c>
      <c r="L17" s="13">
        <f t="shared" si="3"/>
        <v>32190.524447945991</v>
      </c>
      <c r="M17" s="13">
        <f t="shared" si="3"/>
        <v>147840</v>
      </c>
      <c r="N17" s="13">
        <f t="shared" si="3"/>
        <v>43636.36363636364</v>
      </c>
      <c r="O17" s="13"/>
    </row>
    <row r="19" spans="1:17" x14ac:dyDescent="0.2">
      <c r="A19" s="157" t="s">
        <v>312</v>
      </c>
    </row>
    <row r="20" spans="1:17" x14ac:dyDescent="0.2">
      <c r="B20" s="157" t="s">
        <v>154</v>
      </c>
      <c r="C20" s="157" t="s">
        <v>155</v>
      </c>
      <c r="D20" s="157" t="s">
        <v>155</v>
      </c>
      <c r="E20" s="157">
        <v>2008</v>
      </c>
      <c r="F20" s="157">
        <v>2019</v>
      </c>
      <c r="G20" s="157" t="s">
        <v>313</v>
      </c>
      <c r="I20" s="162" t="s">
        <v>333</v>
      </c>
      <c r="J20" s="162" t="s">
        <v>335</v>
      </c>
      <c r="K20" s="162" t="s">
        <v>336</v>
      </c>
      <c r="L20" s="162" t="s">
        <v>36</v>
      </c>
      <c r="M20" s="162" t="s">
        <v>337</v>
      </c>
      <c r="N20" s="162" t="s">
        <v>338</v>
      </c>
    </row>
    <row r="21" spans="1:17" x14ac:dyDescent="0.2">
      <c r="B21" s="157" t="s">
        <v>314</v>
      </c>
      <c r="C21" s="15" t="s">
        <v>38</v>
      </c>
      <c r="D21" s="15" t="s">
        <v>14</v>
      </c>
      <c r="E21" s="155" t="s">
        <v>294</v>
      </c>
      <c r="F21" s="155" t="s">
        <v>294</v>
      </c>
      <c r="I21" s="166" t="s">
        <v>334</v>
      </c>
    </row>
    <row r="22" spans="1:17" x14ac:dyDescent="0.2">
      <c r="A22" s="157" t="s">
        <v>290</v>
      </c>
      <c r="B22" s="13">
        <v>5000</v>
      </c>
      <c r="C22" s="2">
        <v>0.7</v>
      </c>
      <c r="D22" s="157">
        <f>B22*C22</f>
        <v>3500</v>
      </c>
      <c r="E22" s="157">
        <v>12.91</v>
      </c>
      <c r="F22" s="4">
        <f t="shared" ref="F22:F29" si="4">G6</f>
        <v>16.437045270566042</v>
      </c>
      <c r="G22" s="2">
        <f>(F22-E22)/E22</f>
        <v>0.27320257711588242</v>
      </c>
      <c r="I22" s="4">
        <v>20</v>
      </c>
      <c r="J22" s="4">
        <f>I22-F22</f>
        <v>3.5629547294339581</v>
      </c>
      <c r="K22" s="2">
        <f>(J22)/F22</f>
        <v>0.21676369875394647</v>
      </c>
      <c r="L22" s="157">
        <v>4318</v>
      </c>
      <c r="M22" s="157">
        <f>L22-D22</f>
        <v>818</v>
      </c>
      <c r="N22" s="167">
        <f>M22/D22</f>
        <v>0.23371428571428571</v>
      </c>
    </row>
    <row r="23" spans="1:17" x14ac:dyDescent="0.2">
      <c r="A23" s="157" t="s">
        <v>291</v>
      </c>
      <c r="B23" s="13">
        <v>4000</v>
      </c>
      <c r="C23" s="2">
        <v>1</v>
      </c>
      <c r="D23" s="157">
        <f t="shared" ref="D23:D29" si="5">B23*C23</f>
        <v>4000</v>
      </c>
      <c r="E23" s="157">
        <v>21.47</v>
      </c>
      <c r="F23" s="4">
        <f t="shared" si="4"/>
        <v>13.476330641619294</v>
      </c>
      <c r="G23" s="2">
        <f t="shared" ref="G23:G29" si="6">(F23-E23)/E23</f>
        <v>-0.37231808842015396</v>
      </c>
      <c r="I23" s="4">
        <v>20</v>
      </c>
      <c r="J23" s="4">
        <f t="shared" ref="J23:J29" si="7">I23-F23</f>
        <v>6.5236693583807064</v>
      </c>
      <c r="K23" s="2">
        <f t="shared" ref="K23:K29" si="8">(J23)/F23</f>
        <v>0.48408350402397315</v>
      </c>
      <c r="L23" s="157">
        <v>5114</v>
      </c>
      <c r="M23" s="163">
        <f t="shared" ref="M23:M29" si="9">L23-D23</f>
        <v>1114</v>
      </c>
      <c r="N23" s="167">
        <f t="shared" ref="N23:N29" si="10">M23/D23</f>
        <v>0.27850000000000003</v>
      </c>
    </row>
    <row r="24" spans="1:17" x14ac:dyDescent="0.2">
      <c r="A24" s="157" t="s">
        <v>75</v>
      </c>
      <c r="B24" s="13">
        <v>3500</v>
      </c>
      <c r="C24" s="2">
        <v>1</v>
      </c>
      <c r="D24" s="157">
        <f t="shared" si="5"/>
        <v>3500</v>
      </c>
      <c r="E24" s="157">
        <v>24.02</v>
      </c>
      <c r="F24" s="4">
        <f t="shared" si="4"/>
        <v>18.668696472874263</v>
      </c>
      <c r="G24" s="2">
        <f t="shared" si="6"/>
        <v>-0.22278532585869013</v>
      </c>
      <c r="I24" s="4"/>
      <c r="J24" s="4"/>
      <c r="K24" s="2"/>
      <c r="M24" s="163"/>
      <c r="N24" s="167"/>
      <c r="Q24" s="167"/>
    </row>
    <row r="25" spans="1:17" x14ac:dyDescent="0.2">
      <c r="A25" s="157" t="s">
        <v>69</v>
      </c>
      <c r="B25" s="13">
        <v>4000</v>
      </c>
      <c r="C25" s="2">
        <v>0.8</v>
      </c>
      <c r="D25" s="157">
        <f t="shared" si="5"/>
        <v>3200</v>
      </c>
      <c r="E25" s="157">
        <v>14.94</v>
      </c>
      <c r="F25" s="4">
        <f t="shared" si="4"/>
        <v>17.232908772919814</v>
      </c>
      <c r="G25" s="2">
        <f t="shared" si="6"/>
        <v>0.1534744827924909</v>
      </c>
      <c r="I25" s="4">
        <v>25.93</v>
      </c>
      <c r="J25" s="4">
        <f t="shared" si="7"/>
        <v>8.6970912270801861</v>
      </c>
      <c r="K25" s="2">
        <f t="shared" si="8"/>
        <v>0.50467923562312322</v>
      </c>
      <c r="L25" s="157">
        <v>3068</v>
      </c>
      <c r="M25" s="163">
        <f t="shared" si="9"/>
        <v>-132</v>
      </c>
      <c r="N25" s="167">
        <f t="shared" si="10"/>
        <v>-4.1250000000000002E-2</v>
      </c>
    </row>
    <row r="26" spans="1:17" x14ac:dyDescent="0.2">
      <c r="A26" s="162" t="s">
        <v>339</v>
      </c>
      <c r="B26" s="13">
        <v>800</v>
      </c>
      <c r="C26" s="2">
        <v>1</v>
      </c>
      <c r="D26" s="157">
        <f t="shared" si="5"/>
        <v>800</v>
      </c>
      <c r="E26" s="157">
        <v>48.9</v>
      </c>
      <c r="F26" s="4">
        <f t="shared" si="4"/>
        <v>58.52238879460085</v>
      </c>
      <c r="G26" s="2">
        <f t="shared" si="6"/>
        <v>0.19677686696525259</v>
      </c>
      <c r="I26" s="4">
        <v>66.67</v>
      </c>
      <c r="J26" s="4">
        <f t="shared" si="7"/>
        <v>8.1476112053991514</v>
      </c>
      <c r="K26" s="2">
        <f t="shared" si="8"/>
        <v>0.13922212290402664</v>
      </c>
      <c r="L26" s="157">
        <v>682</v>
      </c>
      <c r="M26" s="163">
        <f t="shared" si="9"/>
        <v>-118</v>
      </c>
      <c r="N26" s="167">
        <f t="shared" si="10"/>
        <v>-0.14749999999999999</v>
      </c>
    </row>
    <row r="27" spans="1:17" x14ac:dyDescent="0.2">
      <c r="A27" s="162" t="s">
        <v>340</v>
      </c>
      <c r="B27" s="13">
        <v>5000</v>
      </c>
      <c r="C27" s="2">
        <v>0.7</v>
      </c>
      <c r="D27" s="157">
        <f t="shared" si="5"/>
        <v>3500</v>
      </c>
      <c r="E27" s="157">
        <v>11.55</v>
      </c>
      <c r="F27" s="4">
        <f t="shared" si="4"/>
        <v>12.899734792247994</v>
      </c>
      <c r="G27" s="2">
        <f t="shared" si="6"/>
        <v>0.11686015517298641</v>
      </c>
      <c r="I27" s="4">
        <v>28</v>
      </c>
      <c r="J27" s="4">
        <f t="shared" si="7"/>
        <v>15.100265207752006</v>
      </c>
      <c r="K27" s="2">
        <f t="shared" si="8"/>
        <v>1.170587260199055</v>
      </c>
      <c r="L27" s="157">
        <v>2600</v>
      </c>
      <c r="M27" s="163">
        <f t="shared" si="9"/>
        <v>-900</v>
      </c>
      <c r="N27" s="167">
        <f t="shared" si="10"/>
        <v>-0.25714285714285712</v>
      </c>
    </row>
    <row r="28" spans="1:17" x14ac:dyDescent="0.2">
      <c r="A28" s="157" t="s">
        <v>80</v>
      </c>
      <c r="B28" s="13">
        <v>1500</v>
      </c>
      <c r="C28" s="2">
        <v>1</v>
      </c>
      <c r="D28" s="157">
        <f t="shared" si="5"/>
        <v>1500</v>
      </c>
      <c r="E28" s="157">
        <v>60.01</v>
      </c>
      <c r="F28" s="4">
        <f t="shared" si="4"/>
        <v>72.924942208134667</v>
      </c>
      <c r="G28" s="2">
        <f t="shared" si="6"/>
        <v>0.21521316794092099</v>
      </c>
      <c r="I28" s="4">
        <v>133</v>
      </c>
      <c r="J28" s="4">
        <f t="shared" si="7"/>
        <v>60.075057791865333</v>
      </c>
      <c r="K28" s="2">
        <f t="shared" si="8"/>
        <v>0.82379301200411581</v>
      </c>
      <c r="L28" s="157">
        <v>682</v>
      </c>
      <c r="M28" s="163">
        <f t="shared" si="9"/>
        <v>-818</v>
      </c>
      <c r="N28" s="167">
        <f t="shared" si="10"/>
        <v>-0.54533333333333334</v>
      </c>
    </row>
    <row r="29" spans="1:17" x14ac:dyDescent="0.2">
      <c r="A29" s="157" t="s">
        <v>71</v>
      </c>
      <c r="B29" s="13">
        <v>350</v>
      </c>
      <c r="C29" s="2">
        <v>1</v>
      </c>
      <c r="D29" s="157">
        <f t="shared" si="5"/>
        <v>350</v>
      </c>
      <c r="E29" s="157">
        <v>179.27</v>
      </c>
      <c r="F29" s="4">
        <f t="shared" si="4"/>
        <v>168.71359875123531</v>
      </c>
      <c r="G29" s="2">
        <f t="shared" si="6"/>
        <v>-5.8885486968063255E-2</v>
      </c>
      <c r="I29" s="4">
        <v>140</v>
      </c>
      <c r="J29" s="4">
        <f t="shared" si="7"/>
        <v>-28.71359875123531</v>
      </c>
      <c r="K29" s="2">
        <f t="shared" si="8"/>
        <v>-0.17019137143516755</v>
      </c>
      <c r="L29" s="157">
        <v>568</v>
      </c>
      <c r="M29" s="163">
        <f t="shared" si="9"/>
        <v>218</v>
      </c>
      <c r="N29" s="167">
        <f t="shared" si="10"/>
        <v>0.62285714285714289</v>
      </c>
    </row>
    <row r="32" spans="1:17" x14ac:dyDescent="0.2">
      <c r="B32" s="155" t="s">
        <v>290</v>
      </c>
      <c r="C32" s="155" t="s">
        <v>291</v>
      </c>
      <c r="D32" s="155" t="s">
        <v>75</v>
      </c>
      <c r="E32" s="155" t="s">
        <v>69</v>
      </c>
      <c r="F32" s="157" t="s">
        <v>162</v>
      </c>
      <c r="G32" s="157" t="s">
        <v>163</v>
      </c>
      <c r="H32" s="155" t="s">
        <v>80</v>
      </c>
      <c r="I32" s="155" t="s">
        <v>71</v>
      </c>
    </row>
    <row r="33" spans="1:9" x14ac:dyDescent="0.2">
      <c r="A33" s="30" t="s">
        <v>27</v>
      </c>
    </row>
    <row r="34" spans="1:9" x14ac:dyDescent="0.2">
      <c r="A34" s="157" t="s">
        <v>82</v>
      </c>
      <c r="B34" s="157">
        <f>'Morot 1'!C79+'Morot 1'!D79</f>
        <v>2</v>
      </c>
      <c r="C34" s="157">
        <f>'Buntmorot 1'!C79+'Buntmorot 1'!D79</f>
        <v>2</v>
      </c>
      <c r="D34" s="157">
        <f>'Buntlök 1'!C79+'Buntlök 1'!D79</f>
        <v>2</v>
      </c>
      <c r="E34" s="157">
        <f>'Sättlök 1'!C79+'Sättlök 1'!D79</f>
        <v>2</v>
      </c>
      <c r="F34" s="157">
        <f>'Broccoli 1 '!C79+'Broccoli 1 '!D79</f>
        <v>2</v>
      </c>
      <c r="G34" s="157">
        <f>'Vitkål 1 '!C79+'Vitkål 1 '!D79</f>
        <v>2</v>
      </c>
      <c r="H34" s="157">
        <f>'Brytböna 1'!C79+'Brytböna 1'!D79</f>
        <v>2</v>
      </c>
      <c r="I34" s="157">
        <f>'Sockerärt 1'!C80+'Sockerärt 1'!D80</f>
        <v>2</v>
      </c>
    </row>
    <row r="35" spans="1:9" x14ac:dyDescent="0.2">
      <c r="A35" s="157" t="s">
        <v>33</v>
      </c>
      <c r="B35" s="157">
        <f>'Morot 1'!C80+'Morot 1'!D80</f>
        <v>2</v>
      </c>
      <c r="C35" s="157">
        <f>'Buntmorot 1'!C80+'Buntmorot 1'!D80</f>
        <v>2</v>
      </c>
      <c r="D35" s="157">
        <f>'Buntlök 1'!C80+'Buntlök 1'!D80</f>
        <v>2</v>
      </c>
      <c r="E35" s="157">
        <f>'Sättlök 1'!C80+'Sättlök 1'!D80</f>
        <v>2</v>
      </c>
      <c r="F35" s="157">
        <f>'Broccoli 1 '!C80+'Broccoli 1 '!D80</f>
        <v>2</v>
      </c>
      <c r="G35" s="157">
        <f>'Vitkål 1 '!C80+'Vitkål 1 '!D80</f>
        <v>2</v>
      </c>
      <c r="H35" s="157">
        <f>'Brytböna 1'!C80+'Brytböna 1'!D80</f>
        <v>2</v>
      </c>
      <c r="I35" s="157">
        <f>'Sockerärt 1'!C81+'Sockerärt 1'!D81</f>
        <v>2</v>
      </c>
    </row>
    <row r="36" spans="1:9" x14ac:dyDescent="0.2">
      <c r="A36" s="155" t="s">
        <v>315</v>
      </c>
      <c r="B36" s="157">
        <f>'Morot 1'!C81+'Morot 1'!D81</f>
        <v>3</v>
      </c>
      <c r="C36" s="157">
        <f>'Buntmorot 1'!C81+'Buntmorot 1'!D81</f>
        <v>3</v>
      </c>
      <c r="D36" s="157">
        <f>'Buntlök 1'!C81+'Buntlök 1'!D81</f>
        <v>25</v>
      </c>
      <c r="E36" s="14">
        <f>'Sättlök 1'!C81+'Sättlök 1'!D81</f>
        <v>16.666666666666668</v>
      </c>
      <c r="F36" s="14">
        <f>'Broccoli 1 '!C81+'Broccoli 1 '!D81</f>
        <v>16</v>
      </c>
      <c r="G36" s="14">
        <f>'Vitkål 1 '!C81+'Vitkål 1 '!D81</f>
        <v>16</v>
      </c>
      <c r="H36" s="157">
        <f>'Brytböna 1'!C81+'Brytböna 1'!D81</f>
        <v>3</v>
      </c>
      <c r="I36" s="157">
        <f>'Sockerärt 1'!C82+'Sockerärt 1'!D82</f>
        <v>3</v>
      </c>
    </row>
    <row r="37" spans="1:9" x14ac:dyDescent="0.2">
      <c r="A37" s="157" t="s">
        <v>247</v>
      </c>
      <c r="B37" s="157">
        <f>'Morot 1'!C82+'Morot 1'!D82</f>
        <v>5</v>
      </c>
      <c r="C37" s="157">
        <f>'Buntmorot 1'!C82+'Buntmorot 1'!D82</f>
        <v>5</v>
      </c>
      <c r="D37" s="157">
        <f>'Buntlök 1'!C82+'Buntlök 1'!D82</f>
        <v>3</v>
      </c>
      <c r="E37" s="157">
        <f>'Sättlök 1'!C82+'Sättlök 1'!D82</f>
        <v>0</v>
      </c>
      <c r="F37" s="157">
        <f>'Broccoli 1 '!C82+'Broccoli 1 '!D82</f>
        <v>5</v>
      </c>
      <c r="G37" s="157">
        <f>'Vitkål 1 '!C82+'Vitkål 1 '!D82</f>
        <v>5</v>
      </c>
      <c r="H37" s="157">
        <f>'Brytböna 1'!C82+'Brytböna 1'!D82</f>
        <v>5</v>
      </c>
      <c r="I37" s="157">
        <f>'Sockerärt 1'!C84+'Sockerärt 1'!D84</f>
        <v>50</v>
      </c>
    </row>
    <row r="38" spans="1:9" x14ac:dyDescent="0.2">
      <c r="A38" s="157" t="s">
        <v>34</v>
      </c>
      <c r="B38" s="157">
        <f>'Morot 1'!C83+'Morot 1'!D83</f>
        <v>4</v>
      </c>
      <c r="C38" s="157">
        <f>'Buntmorot 1'!C83+'Buntmorot 1'!D83</f>
        <v>4</v>
      </c>
      <c r="D38" s="157">
        <f>'Buntlök 1'!C83+'Buntlök 1'!D83</f>
        <v>4</v>
      </c>
      <c r="E38" s="157">
        <f>'Sättlök 1'!C83+'Sättlök 1'!D83</f>
        <v>4</v>
      </c>
      <c r="F38" s="157">
        <f>'Broccoli 1 '!C83+'Broccoli 1 '!D83</f>
        <v>4</v>
      </c>
      <c r="G38" s="157">
        <f>'Vitkål 1 '!C83+'Vitkål 1 '!D83</f>
        <v>5</v>
      </c>
      <c r="H38" s="157">
        <f>'Brytböna 1'!C83+'Brytböna 1'!D83</f>
        <v>4</v>
      </c>
      <c r="I38" s="157">
        <f>'Sockerärt 1'!C85+'Sockerärt 1'!D85</f>
        <v>4</v>
      </c>
    </row>
    <row r="39" spans="1:9" x14ac:dyDescent="0.2">
      <c r="A39" s="157" t="s">
        <v>88</v>
      </c>
      <c r="B39" s="157">
        <f>'Morot 1'!C84+'Morot 1'!D84</f>
        <v>0</v>
      </c>
      <c r="C39" s="157">
        <f>'Buntmorot 1'!C84+'Buntmorot 1'!D84</f>
        <v>0</v>
      </c>
      <c r="D39" s="157">
        <f>'Buntlök 1'!C84+'Buntlök 1'!D84</f>
        <v>0</v>
      </c>
      <c r="E39" s="157">
        <f>'Sättlök 1'!C84+'Sättlök 1'!D84</f>
        <v>0</v>
      </c>
      <c r="F39" s="157">
        <f>'Broccoli 1 '!C84+'Broccoli 1 '!D84</f>
        <v>3</v>
      </c>
      <c r="G39" s="157">
        <f>'Vitkål 1 '!C84+'Vitkål 1 '!D84</f>
        <v>6</v>
      </c>
      <c r="H39" s="157">
        <f>'Brytböna 1'!C84+'Brytböna 1'!D84</f>
        <v>0</v>
      </c>
      <c r="I39" s="157">
        <f>'Sockerärt 1'!C86+'Sockerärt 1'!D86</f>
        <v>0</v>
      </c>
    </row>
    <row r="40" spans="1:9" x14ac:dyDescent="0.2">
      <c r="A40" s="157" t="s">
        <v>64</v>
      </c>
      <c r="B40" s="157">
        <f>'Morot 1'!C85+'Morot 1'!D85</f>
        <v>3</v>
      </c>
      <c r="C40" s="157">
        <f>'Buntmorot 1'!C85+'Buntmorot 1'!D85</f>
        <v>3</v>
      </c>
      <c r="D40" s="157">
        <f>'Buntlök 1'!C85+'Buntlök 1'!D85</f>
        <v>3</v>
      </c>
      <c r="E40" s="157">
        <f>'Sättlök 1'!C85+'Sättlök 1'!D85</f>
        <v>3</v>
      </c>
      <c r="F40" s="157">
        <f>'Broccoli 1 '!C85+'Broccoli 1 '!D85</f>
        <v>0</v>
      </c>
      <c r="G40" s="157">
        <f>'Vitkål 1 '!C85+'Vitkål 1 '!D85</f>
        <v>0</v>
      </c>
      <c r="H40" s="157">
        <f>'Brytböna 1'!C85+'Brytböna 1'!D85</f>
        <v>0</v>
      </c>
      <c r="I40" s="157">
        <f>'Sockerärt 1'!C87+'Sockerärt 1'!D87</f>
        <v>0</v>
      </c>
    </row>
    <row r="41" spans="1:9" x14ac:dyDescent="0.2">
      <c r="A41" s="157" t="s">
        <v>248</v>
      </c>
      <c r="B41" s="157">
        <f>'Morot 1'!C86+'Morot 1'!D86</f>
        <v>8</v>
      </c>
      <c r="C41" s="157">
        <f>'Buntmorot 1'!C86+'Buntmorot 1'!D86</f>
        <v>8</v>
      </c>
      <c r="D41" s="157">
        <f>'Buntlök 1'!C86+'Buntlök 1'!D86</f>
        <v>6</v>
      </c>
      <c r="E41" s="157">
        <f>'Sättlök 1'!C86+'Sättlök 1'!D86</f>
        <v>8</v>
      </c>
      <c r="F41" s="157">
        <f>'Broccoli 1 '!C86+'Broccoli 1 '!D86</f>
        <v>7</v>
      </c>
      <c r="G41" s="157">
        <f>'Vitkål 1 '!C86+'Vitkål 1 '!D86</f>
        <v>7</v>
      </c>
      <c r="H41" s="157">
        <f>'Brytböna 1'!C86+'Brytböna 1'!D86</f>
        <v>7</v>
      </c>
      <c r="I41" s="157">
        <f>'Sockerärt 1'!C88+'Sockerärt 1'!D88</f>
        <v>7</v>
      </c>
    </row>
    <row r="42" spans="1:9" x14ac:dyDescent="0.2">
      <c r="A42" s="157" t="s">
        <v>35</v>
      </c>
      <c r="B42" s="157">
        <f>'Morot 1'!C87+'Morot 1'!D87</f>
        <v>25</v>
      </c>
      <c r="C42" s="157">
        <f>'Buntmorot 1'!C87+'Buntmorot 1'!D87</f>
        <v>25</v>
      </c>
      <c r="D42" s="157">
        <f>'Buntlök 1'!C87+'Buntlök 1'!D87</f>
        <v>20</v>
      </c>
      <c r="E42" s="157">
        <f>'Sättlök 1'!C87+'Sättlök 1'!D87</f>
        <v>20</v>
      </c>
      <c r="F42" s="157">
        <f>'Broccoli 1 '!C87+'Broccoli 1 '!D87</f>
        <v>12</v>
      </c>
      <c r="G42" s="157">
        <f>'Vitkål 1 '!C87+'Vitkål 1 '!D87</f>
        <v>12</v>
      </c>
      <c r="H42" s="157">
        <f>'Brytböna 1'!C87+'Brytböna 1'!D87</f>
        <v>20</v>
      </c>
      <c r="I42" s="157">
        <f>'Sockerärt 1'!C89+'Sockerärt 1'!D89</f>
        <v>20</v>
      </c>
    </row>
    <row r="43" spans="1:9" x14ac:dyDescent="0.2">
      <c r="A43" s="24" t="s">
        <v>127</v>
      </c>
      <c r="B43" s="24">
        <f>'Morot 1'!C88+'Morot 1'!D88</f>
        <v>2</v>
      </c>
      <c r="C43" s="24">
        <f>'Buntmorot 1'!C88+'Buntmorot 1'!D88</f>
        <v>2</v>
      </c>
      <c r="D43" s="24">
        <f>'Buntlök 1'!C88+'Buntlök 1'!D88</f>
        <v>2</v>
      </c>
      <c r="E43" s="24">
        <f>'Sättlök 1'!C88+'Sättlök 1'!D88</f>
        <v>2</v>
      </c>
      <c r="F43" s="24">
        <f>'Broccoli 1 '!C88+'Broccoli 1 '!D88</f>
        <v>2</v>
      </c>
      <c r="G43" s="24">
        <f>'Vitkål 1 '!C88+'Vitkål 1 '!D88</f>
        <v>2</v>
      </c>
      <c r="H43" s="24">
        <f>'Brytböna 1'!C88+'Brytböna 1'!D88</f>
        <v>2</v>
      </c>
      <c r="I43" s="24">
        <f>'Sockerärt 1'!C90+'Sockerärt 1'!D90</f>
        <v>2</v>
      </c>
    </row>
    <row r="44" spans="1:9" x14ac:dyDescent="0.2">
      <c r="A44" s="155" t="s">
        <v>249</v>
      </c>
      <c r="B44" s="157">
        <f>'Morot 1'!C89+'Morot 1'!D89</f>
        <v>54</v>
      </c>
      <c r="C44" s="157">
        <f>'Buntmorot 1'!C89+'Buntmorot 1'!D89</f>
        <v>54</v>
      </c>
      <c r="D44" s="157">
        <f>'Buntlök 1'!C89+'Buntlök 1'!D89</f>
        <v>67</v>
      </c>
      <c r="E44" s="14">
        <f>'Sättlök 1'!C89+'Sättlök 1'!D89</f>
        <v>57.666666666666671</v>
      </c>
      <c r="F44" s="14">
        <f>'Broccoli 1 '!C89+'Broccoli 1 '!D89</f>
        <v>53</v>
      </c>
      <c r="G44" s="14">
        <f>'Vitkål 1 '!C89+'Vitkål 1 '!D89</f>
        <v>57</v>
      </c>
      <c r="H44" s="157">
        <f>'Brytböna 1'!C89+'Brytböna 1'!D89</f>
        <v>45</v>
      </c>
      <c r="I44" s="157">
        <f>'Sockerärt 1'!C91+'Sockerärt 1'!D91</f>
        <v>95</v>
      </c>
    </row>
    <row r="46" spans="1:9" x14ac:dyDescent="0.2">
      <c r="A46" s="155" t="s">
        <v>250</v>
      </c>
      <c r="B46" s="14">
        <f>'Morot 1'!C91+'Morot 1'!D91</f>
        <v>36.666666666666664</v>
      </c>
      <c r="C46" s="14">
        <f>'Buntmorot 1'!C91+'Buntmorot 1'!D91</f>
        <v>250</v>
      </c>
      <c r="D46" s="14">
        <f>'Buntlök 1'!C91+'Buntlök 1'!D91</f>
        <v>150</v>
      </c>
      <c r="E46" s="14">
        <f>'Sättlök 1'!C91+'Sättlök 1'!D91</f>
        <v>41.666666666666671</v>
      </c>
      <c r="F46" s="14">
        <f>'Broccoli 1 '!C91+'Broccoli 1 '!D91</f>
        <v>40</v>
      </c>
      <c r="G46" s="14">
        <f>'Vitkål 1 '!C91+'Vitkål 1 '!D91</f>
        <v>30</v>
      </c>
      <c r="H46" s="14">
        <f>'Brytböna 1'!C91+'Brytböna 1'!D91</f>
        <v>125</v>
      </c>
      <c r="I46" s="14">
        <f>'Sockerärt 1'!C93+'Sockerärt 1'!D93</f>
        <v>200</v>
      </c>
    </row>
    <row r="47" spans="1:9" x14ac:dyDescent="0.2">
      <c r="A47" s="155" t="s">
        <v>231</v>
      </c>
      <c r="B47" s="157">
        <f>'Morot 1'!C92+'Morot 1'!D92</f>
        <v>1</v>
      </c>
      <c r="C47" s="157">
        <f>'Buntmorot 1'!C92+'Buntmorot 1'!D92</f>
        <v>0</v>
      </c>
      <c r="D47" s="157">
        <f>'Buntlök 1'!C92+'Buntlök 1'!D92</f>
        <v>0</v>
      </c>
      <c r="E47" s="157">
        <f>'Sättlök 1'!C92+'Sättlök 1'!D92</f>
        <v>1</v>
      </c>
      <c r="F47" s="157">
        <f>'Broccoli 1 '!C92+'Broccoli 1 '!D92</f>
        <v>0</v>
      </c>
      <c r="G47" s="157">
        <f>'Vitkål 1 '!C92+'Vitkål 1 '!D92</f>
        <v>1</v>
      </c>
      <c r="H47" s="157">
        <f>'Brytböna 1'!C92+'Brytböna 1'!D92</f>
        <v>0</v>
      </c>
      <c r="I47" s="157">
        <f>'Sockerärt 1'!C94+'Sockerärt 1'!D94</f>
        <v>0</v>
      </c>
    </row>
    <row r="48" spans="1:9" x14ac:dyDescent="0.2">
      <c r="A48" s="24" t="s">
        <v>128</v>
      </c>
      <c r="B48" s="157">
        <f>'Morot 1'!C93+'Morot 1'!D93</f>
        <v>32.083333333333329</v>
      </c>
      <c r="C48" s="157">
        <f>'Buntmorot 1'!C93+'Buntmorot 1'!D93</f>
        <v>0</v>
      </c>
      <c r="D48" s="157">
        <f>'Buntlök 1'!C93+'Buntlök 1'!D93</f>
        <v>0</v>
      </c>
      <c r="E48" s="157">
        <f>'Sättlök 1'!C93+'Sättlök 1'!D93</f>
        <v>50</v>
      </c>
      <c r="F48" s="157">
        <f>'Broccoli 1 '!C93+'Broccoli 1 '!D93</f>
        <v>0</v>
      </c>
      <c r="G48" s="157">
        <f>'Vitkål 1 '!C93+'Vitkål 1 '!D93</f>
        <v>19.2</v>
      </c>
      <c r="H48" s="157">
        <f>'Brytböna 1'!C93+'Brytböna 1'!D93</f>
        <v>0</v>
      </c>
      <c r="I48" s="157">
        <f>'Sockerärt 1'!C95+'Sockerärt 1'!D95</f>
        <v>0</v>
      </c>
    </row>
    <row r="49" spans="1:10" x14ac:dyDescent="0.2">
      <c r="A49" s="156" t="s">
        <v>251</v>
      </c>
    </row>
    <row r="52" spans="1:10" ht="25.5" x14ac:dyDescent="0.2">
      <c r="A52" s="159" t="s">
        <v>316</v>
      </c>
      <c r="B52" s="160" t="s">
        <v>327</v>
      </c>
      <c r="C52" s="160" t="s">
        <v>328</v>
      </c>
      <c r="F52" s="160" t="s">
        <v>329</v>
      </c>
      <c r="G52" s="160" t="s">
        <v>330</v>
      </c>
      <c r="H52" s="160" t="s">
        <v>332</v>
      </c>
      <c r="I52" s="158" t="s">
        <v>80</v>
      </c>
      <c r="J52" s="158" t="s">
        <v>71</v>
      </c>
    </row>
    <row r="53" spans="1:10" x14ac:dyDescent="0.2">
      <c r="A53" s="159" t="s">
        <v>36</v>
      </c>
      <c r="B53" s="13">
        <v>50</v>
      </c>
      <c r="C53" s="159">
        <v>97500</v>
      </c>
      <c r="F53" s="159">
        <v>30</v>
      </c>
      <c r="G53" s="159">
        <v>12</v>
      </c>
      <c r="H53" s="159">
        <v>42</v>
      </c>
      <c r="I53" s="157">
        <v>8</v>
      </c>
    </row>
    <row r="54" spans="1:10" x14ac:dyDescent="0.2">
      <c r="A54" s="159" t="s">
        <v>155</v>
      </c>
      <c r="B54" s="13">
        <v>35</v>
      </c>
      <c r="C54" s="159"/>
      <c r="F54" s="159">
        <v>30</v>
      </c>
      <c r="G54" s="159">
        <v>12</v>
      </c>
      <c r="H54" s="159">
        <v>42</v>
      </c>
      <c r="I54" s="157">
        <v>8</v>
      </c>
    </row>
    <row r="55" spans="1:10" x14ac:dyDescent="0.2">
      <c r="A55" s="159" t="s">
        <v>317</v>
      </c>
      <c r="B55" s="13"/>
      <c r="C55" s="159"/>
      <c r="F55" s="159">
        <v>90000</v>
      </c>
      <c r="G55" s="159">
        <v>35000</v>
      </c>
      <c r="H55" s="159">
        <v>50000</v>
      </c>
    </row>
    <row r="56" spans="1:10" x14ac:dyDescent="0.2">
      <c r="A56" s="159" t="s">
        <v>318</v>
      </c>
      <c r="B56" s="13"/>
      <c r="C56" s="159"/>
      <c r="F56" s="159">
        <v>0.05</v>
      </c>
      <c r="G56" s="159">
        <v>0.05</v>
      </c>
      <c r="H56" s="159">
        <v>0.06</v>
      </c>
    </row>
    <row r="57" spans="1:10" x14ac:dyDescent="0.2">
      <c r="A57" s="159" t="s">
        <v>319</v>
      </c>
      <c r="B57" s="13">
        <v>600</v>
      </c>
      <c r="C57" s="159">
        <v>0.8</v>
      </c>
      <c r="F57" s="159">
        <v>285</v>
      </c>
      <c r="G57" s="159">
        <v>1810</v>
      </c>
      <c r="H57" s="159">
        <v>650</v>
      </c>
      <c r="I57" s="157">
        <v>280</v>
      </c>
    </row>
    <row r="58" spans="1:10" x14ac:dyDescent="0.2">
      <c r="A58" s="159" t="s">
        <v>320</v>
      </c>
      <c r="B58" s="161">
        <v>250</v>
      </c>
      <c r="C58" s="159">
        <v>1259</v>
      </c>
      <c r="F58" s="159">
        <v>129</v>
      </c>
      <c r="G58" s="159">
        <v>151.5</v>
      </c>
      <c r="H58" s="159">
        <v>252.5</v>
      </c>
    </row>
    <row r="59" spans="1:10" x14ac:dyDescent="0.2">
      <c r="A59" s="159" t="s">
        <v>321</v>
      </c>
      <c r="B59" s="13">
        <v>72</v>
      </c>
      <c r="C59" s="159">
        <v>67</v>
      </c>
      <c r="F59" s="159">
        <v>49</v>
      </c>
      <c r="G59" s="159">
        <v>51</v>
      </c>
      <c r="H59" s="159">
        <v>63.2</v>
      </c>
    </row>
    <row r="60" spans="1:10" x14ac:dyDescent="0.2">
      <c r="A60" s="159" t="s">
        <v>322</v>
      </c>
      <c r="B60" s="159">
        <f t="shared" ref="B60:C60" si="11">SUM(B58:B59)</f>
        <v>322</v>
      </c>
      <c r="C60" s="159">
        <f t="shared" si="11"/>
        <v>1326</v>
      </c>
      <c r="F60" s="159">
        <f t="shared" ref="F60" si="12">SUM(F58:F59)</f>
        <v>178</v>
      </c>
      <c r="G60" s="159">
        <f>SUM(G58:G59)</f>
        <v>202.5</v>
      </c>
      <c r="H60" s="159">
        <f t="shared" ref="H60" si="13">SUM(H58:H59)</f>
        <v>315.7</v>
      </c>
    </row>
    <row r="61" spans="1:10" x14ac:dyDescent="0.2">
      <c r="A61" s="159" t="s">
        <v>323</v>
      </c>
      <c r="B61" s="13"/>
      <c r="C61" s="159"/>
      <c r="F61" s="159">
        <v>46</v>
      </c>
      <c r="G61" s="159">
        <v>31</v>
      </c>
      <c r="H61" s="159">
        <v>27</v>
      </c>
    </row>
    <row r="62" spans="1:10" x14ac:dyDescent="0.2">
      <c r="A62" s="159" t="s">
        <v>324</v>
      </c>
      <c r="B62" s="161">
        <v>156</v>
      </c>
      <c r="C62" s="159">
        <v>156</v>
      </c>
      <c r="F62" s="159">
        <v>92</v>
      </c>
      <c r="G62" s="159">
        <v>0</v>
      </c>
      <c r="H62" s="159">
        <v>41</v>
      </c>
    </row>
    <row r="63" spans="1:10" x14ac:dyDescent="0.2">
      <c r="A63" s="159" t="s">
        <v>325</v>
      </c>
      <c r="B63" s="159">
        <v>12</v>
      </c>
      <c r="C63" s="159">
        <v>824</v>
      </c>
      <c r="F63" s="159">
        <v>15</v>
      </c>
      <c r="G63" s="159">
        <v>94</v>
      </c>
      <c r="H63" s="159">
        <v>193</v>
      </c>
    </row>
    <row r="64" spans="1:10" x14ac:dyDescent="0.2">
      <c r="A64" s="159" t="s">
        <v>326</v>
      </c>
      <c r="B64" s="159">
        <v>61</v>
      </c>
      <c r="C64" s="159">
        <v>247</v>
      </c>
      <c r="F64" s="159"/>
      <c r="G64" s="159" t="s">
        <v>331</v>
      </c>
      <c r="H64" s="159"/>
    </row>
  </sheetData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559B3-034F-4FA6-B485-0E7CE8634BD1}">
  <dimension ref="A1:U158"/>
  <sheetViews>
    <sheetView workbookViewId="0">
      <selection activeCell="C63" sqref="C63"/>
    </sheetView>
  </sheetViews>
  <sheetFormatPr defaultRowHeight="12.75" x14ac:dyDescent="0.2"/>
  <cols>
    <col min="1" max="1" width="35.42578125" style="148" customWidth="1"/>
    <col min="2" max="2" width="9.140625" style="148"/>
    <col min="3" max="4" width="12" style="148" bestFit="1" customWidth="1"/>
    <col min="5" max="5" width="11" style="148" bestFit="1" customWidth="1"/>
    <col min="6" max="6" width="12.42578125" style="148" bestFit="1" customWidth="1"/>
    <col min="7" max="7" width="11" style="148" bestFit="1" customWidth="1"/>
    <col min="8" max="9" width="12" style="148" bestFit="1" customWidth="1"/>
    <col min="10" max="16384" width="9.140625" style="148"/>
  </cols>
  <sheetData>
    <row r="1" spans="1:21" ht="15.75" x14ac:dyDescent="0.25">
      <c r="A1" s="20" t="s">
        <v>219</v>
      </c>
      <c r="B1" s="20" t="s">
        <v>304</v>
      </c>
      <c r="C1" s="20"/>
      <c r="D1" s="20" t="s">
        <v>114</v>
      </c>
      <c r="E1" s="21"/>
      <c r="F1" s="20"/>
      <c r="G1" s="20"/>
      <c r="H1" s="21"/>
      <c r="I1" s="21"/>
      <c r="J1" s="21"/>
      <c r="K1" s="20" t="s">
        <v>301</v>
      </c>
      <c r="L1" s="21"/>
      <c r="M1" s="21"/>
      <c r="N1" s="21"/>
      <c r="O1" s="21"/>
      <c r="P1" s="21"/>
      <c r="Q1" s="21"/>
      <c r="R1" s="21"/>
      <c r="S1" s="21"/>
      <c r="T1" s="21"/>
      <c r="U1" s="21"/>
    </row>
    <row r="3" spans="1:21" x14ac:dyDescent="0.2">
      <c r="A3" s="62" t="s">
        <v>104</v>
      </c>
      <c r="C3" s="13">
        <v>1000</v>
      </c>
      <c r="D3" s="146" t="s">
        <v>283</v>
      </c>
      <c r="K3" s="222"/>
      <c r="L3" s="222"/>
      <c r="M3" s="222"/>
      <c r="N3" s="222"/>
      <c r="O3" s="222"/>
      <c r="P3" s="222"/>
      <c r="Q3" s="222"/>
      <c r="R3" s="222"/>
      <c r="S3" s="222"/>
    </row>
    <row r="4" spans="1:21" x14ac:dyDescent="0.2">
      <c r="A4" s="62" t="s">
        <v>4</v>
      </c>
      <c r="C4" s="13">
        <f>Grunduppgifter!C11</f>
        <v>6000</v>
      </c>
      <c r="D4" s="146" t="s">
        <v>271</v>
      </c>
    </row>
    <row r="5" spans="1:21" x14ac:dyDescent="0.2">
      <c r="A5" s="62" t="s">
        <v>96</v>
      </c>
      <c r="C5" s="2">
        <f>Grunduppgifter!D11</f>
        <v>0.8</v>
      </c>
    </row>
    <row r="6" spans="1:21" x14ac:dyDescent="0.2">
      <c r="B6" s="146"/>
      <c r="C6" s="3"/>
      <c r="K6" s="223"/>
      <c r="L6" s="224"/>
      <c r="M6" s="224"/>
      <c r="N6" s="224"/>
      <c r="O6" s="224"/>
      <c r="P6" s="224"/>
      <c r="Q6" s="224"/>
      <c r="R6" s="224"/>
      <c r="S6" s="224"/>
    </row>
    <row r="7" spans="1:21" x14ac:dyDescent="0.2">
      <c r="A7" s="24"/>
      <c r="B7" s="30" t="s">
        <v>122</v>
      </c>
      <c r="C7" s="49" t="s">
        <v>6</v>
      </c>
      <c r="D7" s="49" t="s">
        <v>115</v>
      </c>
      <c r="E7" s="49" t="s">
        <v>7</v>
      </c>
      <c r="F7" s="24"/>
      <c r="G7" s="24"/>
      <c r="H7" s="30" t="s">
        <v>124</v>
      </c>
      <c r="I7" s="147"/>
      <c r="J7" s="3"/>
    </row>
    <row r="8" spans="1:21" x14ac:dyDescent="0.2">
      <c r="A8" s="147" t="s">
        <v>5</v>
      </c>
      <c r="B8" s="3"/>
      <c r="C8" s="10"/>
      <c r="D8" s="10"/>
      <c r="E8" s="10"/>
      <c r="H8" s="3"/>
      <c r="I8" s="3"/>
      <c r="J8" s="3"/>
    </row>
    <row r="9" spans="1:21" x14ac:dyDescent="0.2">
      <c r="A9" s="148" t="s">
        <v>307</v>
      </c>
      <c r="B9" s="148" t="s">
        <v>14</v>
      </c>
      <c r="C9" s="39">
        <f>C4*C5</f>
        <v>4800</v>
      </c>
      <c r="D9" s="106">
        <f>(E66+E71-E10)/C9</f>
        <v>12.899734792247994</v>
      </c>
      <c r="E9" s="13">
        <f>C9*D9</f>
        <v>61918.727002790372</v>
      </c>
      <c r="H9" s="192" t="s">
        <v>116</v>
      </c>
      <c r="J9" s="12"/>
    </row>
    <row r="10" spans="1:21" x14ac:dyDescent="0.2">
      <c r="A10" s="24" t="s">
        <v>61</v>
      </c>
      <c r="B10" s="24"/>
      <c r="C10" s="24">
        <v>0.1</v>
      </c>
      <c r="D10" s="35">
        <f>Grunduppgifter!B61</f>
        <v>5000</v>
      </c>
      <c r="E10" s="26">
        <f>C10*D10</f>
        <v>500</v>
      </c>
      <c r="F10" s="24"/>
      <c r="G10" s="24"/>
      <c r="H10" s="24"/>
      <c r="J10" s="12"/>
    </row>
    <row r="11" spans="1:21" x14ac:dyDescent="0.2">
      <c r="A11" s="147" t="s">
        <v>118</v>
      </c>
      <c r="B11" s="147"/>
      <c r="C11" s="147"/>
      <c r="D11" s="44"/>
      <c r="E11" s="39">
        <f>SUM(E9:E10)</f>
        <v>62418.727002790372</v>
      </c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T11" s="147"/>
      <c r="U11" s="147"/>
    </row>
    <row r="12" spans="1:21" x14ac:dyDescent="0.2">
      <c r="D12" s="4"/>
      <c r="E12" s="9"/>
    </row>
    <row r="13" spans="1:21" x14ac:dyDescent="0.2">
      <c r="A13" s="147" t="s">
        <v>220</v>
      </c>
      <c r="D13" s="4"/>
      <c r="E13" s="9"/>
    </row>
    <row r="14" spans="1:21" x14ac:dyDescent="0.2">
      <c r="A14" s="146" t="s">
        <v>221</v>
      </c>
      <c r="B14" s="148" t="s">
        <v>11</v>
      </c>
      <c r="C14" s="14">
        <f>D89</f>
        <v>27.2</v>
      </c>
      <c r="D14" s="9">
        <f>Grunduppgifter!B25</f>
        <v>283</v>
      </c>
      <c r="E14" s="13">
        <f t="shared" ref="E14:E33" si="0">C14*D14</f>
        <v>7697.5999999999995</v>
      </c>
      <c r="H14" s="148" t="s">
        <v>272</v>
      </c>
      <c r="O14" s="4"/>
      <c r="P14" s="4"/>
    </row>
    <row r="15" spans="1:21" x14ac:dyDescent="0.2">
      <c r="A15" s="146" t="s">
        <v>222</v>
      </c>
      <c r="B15" s="148" t="s">
        <v>11</v>
      </c>
      <c r="C15" s="14">
        <f>C89</f>
        <v>29.8</v>
      </c>
      <c r="D15" s="9">
        <f>Grunduppgifter!B26</f>
        <v>186</v>
      </c>
      <c r="E15" s="13">
        <f t="shared" si="0"/>
        <v>5542.8</v>
      </c>
      <c r="H15" s="148" t="s">
        <v>272</v>
      </c>
    </row>
    <row r="16" spans="1:21" x14ac:dyDescent="0.2">
      <c r="A16" s="148" t="s">
        <v>54</v>
      </c>
      <c r="B16" s="148" t="s">
        <v>12</v>
      </c>
      <c r="C16" s="13">
        <v>4000</v>
      </c>
      <c r="D16" s="4">
        <v>0.8</v>
      </c>
      <c r="E16" s="13">
        <f t="shared" si="0"/>
        <v>3200</v>
      </c>
      <c r="J16" s="4"/>
      <c r="M16" s="13"/>
      <c r="N16" s="13"/>
      <c r="O16" s="13"/>
      <c r="P16" s="13"/>
      <c r="Q16" s="13"/>
    </row>
    <row r="17" spans="1:17" x14ac:dyDescent="0.2">
      <c r="A17" s="150" t="str">
        <f>Grunduppgifter!A33</f>
        <v>Fiberduk</v>
      </c>
      <c r="B17" s="148" t="s">
        <v>283</v>
      </c>
      <c r="C17" s="96">
        <v>300</v>
      </c>
      <c r="D17" s="4">
        <f>Grunduppgifter!B33</f>
        <v>1.2</v>
      </c>
      <c r="E17" s="13">
        <f t="shared" si="0"/>
        <v>360</v>
      </c>
      <c r="H17" s="186" t="s">
        <v>406</v>
      </c>
      <c r="M17" s="13"/>
      <c r="N17" s="13"/>
      <c r="O17" s="13"/>
      <c r="P17" s="13"/>
      <c r="Q17" s="13"/>
    </row>
    <row r="18" spans="1:17" x14ac:dyDescent="0.2">
      <c r="A18" s="150" t="str">
        <f>Grunduppgifter!A35</f>
        <v>Stallgödsel</v>
      </c>
      <c r="B18" s="148" t="s">
        <v>14</v>
      </c>
      <c r="C18" s="13">
        <f>Grunduppgifter!G81</f>
        <v>2000</v>
      </c>
      <c r="D18" s="4">
        <f>Grunduppgifter!B35</f>
        <v>0.2</v>
      </c>
      <c r="E18" s="13">
        <f t="shared" si="0"/>
        <v>400</v>
      </c>
    </row>
    <row r="19" spans="1:17" x14ac:dyDescent="0.2">
      <c r="A19" s="148" t="s">
        <v>67</v>
      </c>
      <c r="C19" s="148">
        <v>1</v>
      </c>
      <c r="D19" s="13">
        <f>Grunduppgifter!B63</f>
        <v>1025.9546363636364</v>
      </c>
      <c r="E19" s="13">
        <f t="shared" si="0"/>
        <v>1025.9546363636364</v>
      </c>
      <c r="H19" s="148" t="s">
        <v>273</v>
      </c>
    </row>
    <row r="20" spans="1:17" x14ac:dyDescent="0.2">
      <c r="A20" s="148" t="s">
        <v>274</v>
      </c>
      <c r="C20" s="169">
        <f>C134</f>
        <v>100</v>
      </c>
      <c r="D20" s="4">
        <f>E134</f>
        <v>4.6920000000000002</v>
      </c>
      <c r="E20" s="13">
        <f t="shared" si="0"/>
        <v>469.20000000000005</v>
      </c>
    </row>
    <row r="21" spans="1:17" x14ac:dyDescent="0.2">
      <c r="A21" s="146" t="s">
        <v>178</v>
      </c>
      <c r="C21" s="169">
        <f>C138</f>
        <v>30</v>
      </c>
      <c r="D21" s="4">
        <f>E138</f>
        <v>5.4719999999999986</v>
      </c>
      <c r="E21" s="13">
        <f t="shared" si="0"/>
        <v>164.15999999999997</v>
      </c>
    </row>
    <row r="22" spans="1:17" x14ac:dyDescent="0.2">
      <c r="A22" s="146" t="s">
        <v>275</v>
      </c>
      <c r="C22" s="169">
        <v>1</v>
      </c>
      <c r="D22" s="4">
        <f>F145</f>
        <v>478</v>
      </c>
      <c r="E22" s="13">
        <f t="shared" si="0"/>
        <v>478</v>
      </c>
    </row>
    <row r="23" spans="1:17" x14ac:dyDescent="0.2">
      <c r="A23" s="148" t="s">
        <v>119</v>
      </c>
      <c r="B23" s="148" t="s">
        <v>11</v>
      </c>
      <c r="C23" s="148">
        <f>SUM(F79:F88)</f>
        <v>5</v>
      </c>
      <c r="D23" s="4">
        <f>Grunduppgifter!B30</f>
        <v>100</v>
      </c>
      <c r="E23" s="13">
        <f t="shared" si="0"/>
        <v>500</v>
      </c>
    </row>
    <row r="24" spans="1:17" x14ac:dyDescent="0.2">
      <c r="A24" s="148" t="s">
        <v>15</v>
      </c>
      <c r="B24" s="148" t="s">
        <v>16</v>
      </c>
      <c r="C24" s="107">
        <v>60</v>
      </c>
      <c r="D24" s="4">
        <f>Grunduppgifter!B31</f>
        <v>0.96</v>
      </c>
      <c r="E24" s="13">
        <f t="shared" si="0"/>
        <v>57.599999999999994</v>
      </c>
    </row>
    <row r="25" spans="1:17" x14ac:dyDescent="0.2">
      <c r="A25" s="148" t="s">
        <v>100</v>
      </c>
      <c r="B25" s="148" t="s">
        <v>14</v>
      </c>
      <c r="C25" s="107">
        <v>0</v>
      </c>
      <c r="D25" s="4">
        <f>Grunduppgifter!B32</f>
        <v>25</v>
      </c>
      <c r="E25" s="13">
        <f t="shared" si="0"/>
        <v>0</v>
      </c>
    </row>
    <row r="26" spans="1:17" x14ac:dyDescent="0.2">
      <c r="A26" s="149" t="str">
        <f>Grunduppgifter!A46</f>
        <v>Analyser</v>
      </c>
      <c r="B26" s="148" t="s">
        <v>12</v>
      </c>
      <c r="C26" s="107">
        <v>0.1</v>
      </c>
      <c r="D26" s="4">
        <f>Grunduppgifter!B46</f>
        <v>400</v>
      </c>
      <c r="E26" s="13">
        <f t="shared" si="0"/>
        <v>40</v>
      </c>
    </row>
    <row r="27" spans="1:17" x14ac:dyDescent="0.2">
      <c r="A27" s="29" t="str">
        <f>Grunduppgifter!A69</f>
        <v>Ränta rörelsekapital</v>
      </c>
      <c r="B27" s="24" t="s">
        <v>20</v>
      </c>
      <c r="C27" s="26">
        <f>SUM(E14:E26)</f>
        <v>19935.314636363637</v>
      </c>
      <c r="D27" s="108">
        <f>Grunduppgifter!B69</f>
        <v>0.02</v>
      </c>
      <c r="E27" s="26">
        <f t="shared" si="0"/>
        <v>398.70629272727274</v>
      </c>
      <c r="F27" s="24"/>
      <c r="G27" s="24"/>
      <c r="H27" s="24"/>
    </row>
    <row r="28" spans="1:17" x14ac:dyDescent="0.2">
      <c r="A28" s="147" t="s">
        <v>224</v>
      </c>
      <c r="D28" s="4"/>
      <c r="E28" s="39">
        <f>SUM(E14:E27)</f>
        <v>20334.020929090912</v>
      </c>
    </row>
    <row r="29" spans="1:17" x14ac:dyDescent="0.2">
      <c r="A29" s="147"/>
      <c r="D29" s="4"/>
      <c r="E29" s="39"/>
    </row>
    <row r="30" spans="1:17" x14ac:dyDescent="0.2">
      <c r="A30" s="146" t="s">
        <v>276</v>
      </c>
      <c r="C30" s="148">
        <v>0.1</v>
      </c>
      <c r="D30" s="13">
        <f>'Maskiner 1'!F32</f>
        <v>24747.136173216168</v>
      </c>
      <c r="E30" s="13">
        <f t="shared" si="0"/>
        <v>2474.7136173216168</v>
      </c>
    </row>
    <row r="31" spans="1:17" x14ac:dyDescent="0.2">
      <c r="A31" s="146" t="s">
        <v>225</v>
      </c>
      <c r="C31" s="148">
        <v>0.1</v>
      </c>
      <c r="D31" s="13">
        <f>'Maskiner 1'!K30/2</f>
        <v>7115.6718125290399</v>
      </c>
      <c r="E31" s="13">
        <f t="shared" si="0"/>
        <v>711.56718125290399</v>
      </c>
    </row>
    <row r="32" spans="1:17" x14ac:dyDescent="0.2">
      <c r="A32" s="148" t="s">
        <v>25</v>
      </c>
      <c r="C32" s="148">
        <v>0.1</v>
      </c>
      <c r="D32" s="13">
        <f>Grunduppgifter!B60</f>
        <v>6000</v>
      </c>
      <c r="E32" s="13">
        <f t="shared" si="0"/>
        <v>600</v>
      </c>
    </row>
    <row r="33" spans="1:21" x14ac:dyDescent="0.2">
      <c r="A33" s="29" t="s">
        <v>400</v>
      </c>
      <c r="B33" s="24"/>
      <c r="C33" s="31">
        <f>0.1/Grunduppgifter!B20</f>
        <v>3.3333333333333333E-2</v>
      </c>
      <c r="D33" s="26">
        <f>Grunduppgifter!B64</f>
        <v>4500</v>
      </c>
      <c r="E33" s="26">
        <f t="shared" si="0"/>
        <v>150</v>
      </c>
      <c r="F33" s="24"/>
      <c r="G33" s="24"/>
      <c r="H33" s="24"/>
    </row>
    <row r="34" spans="1:21" x14ac:dyDescent="0.2">
      <c r="A34" s="147" t="s">
        <v>226</v>
      </c>
      <c r="D34" s="4"/>
      <c r="E34" s="13">
        <f>SUM(E30:E33)</f>
        <v>3936.2807985745208</v>
      </c>
    </row>
    <row r="35" spans="1:21" x14ac:dyDescent="0.2">
      <c r="A35" s="147" t="s">
        <v>227</v>
      </c>
      <c r="D35" s="4"/>
      <c r="E35" s="39">
        <f>SUM(E28:E33)</f>
        <v>24270.301727665432</v>
      </c>
    </row>
    <row r="36" spans="1:21" x14ac:dyDescent="0.2">
      <c r="A36" s="147"/>
      <c r="D36" s="4"/>
      <c r="E36" s="13"/>
    </row>
    <row r="37" spans="1:21" x14ac:dyDescent="0.2">
      <c r="A37" s="147" t="s">
        <v>36</v>
      </c>
      <c r="D37" s="4"/>
      <c r="E37" s="13"/>
    </row>
    <row r="38" spans="1:21" x14ac:dyDescent="0.2">
      <c r="A38" s="146" t="s">
        <v>221</v>
      </c>
      <c r="B38" s="148" t="s">
        <v>11</v>
      </c>
      <c r="C38" s="9">
        <f>D91</f>
        <v>6</v>
      </c>
      <c r="D38" s="9">
        <f>Grunduppgifter!B25</f>
        <v>283</v>
      </c>
      <c r="E38" s="13">
        <f>C38*D38</f>
        <v>1698</v>
      </c>
      <c r="H38" s="148" t="s">
        <v>272</v>
      </c>
    </row>
    <row r="39" spans="1:21" x14ac:dyDescent="0.2">
      <c r="A39" s="146" t="s">
        <v>222</v>
      </c>
      <c r="B39" s="148" t="s">
        <v>11</v>
      </c>
      <c r="C39" s="9">
        <f>C91</f>
        <v>24</v>
      </c>
      <c r="D39" s="9">
        <f>Grunduppgifter!B26</f>
        <v>186</v>
      </c>
      <c r="E39" s="13">
        <f>C39*D39</f>
        <v>4464</v>
      </c>
    </row>
    <row r="40" spans="1:21" x14ac:dyDescent="0.2">
      <c r="A40" s="148" t="s">
        <v>228</v>
      </c>
      <c r="C40" s="148">
        <v>0.1</v>
      </c>
      <c r="D40" s="13"/>
      <c r="E40" s="13">
        <f>C40*D40</f>
        <v>0</v>
      </c>
    </row>
    <row r="41" spans="1:21" x14ac:dyDescent="0.2">
      <c r="A41" s="29" t="s">
        <v>229</v>
      </c>
      <c r="B41" s="24" t="s">
        <v>11</v>
      </c>
      <c r="C41" s="26">
        <f>SUM(F91:F93)</f>
        <v>1.45</v>
      </c>
      <c r="D41" s="26">
        <f>Grunduppgifter!B30</f>
        <v>100</v>
      </c>
      <c r="E41" s="26">
        <f>C41*D41</f>
        <v>145</v>
      </c>
      <c r="F41" s="24"/>
      <c r="G41" s="24"/>
      <c r="H41" s="24"/>
    </row>
    <row r="42" spans="1:21" x14ac:dyDescent="0.2">
      <c r="A42" s="147" t="s">
        <v>230</v>
      </c>
      <c r="B42" s="147"/>
      <c r="C42" s="147"/>
      <c r="D42" s="147"/>
      <c r="E42" s="39">
        <f>SUM(E38:E41)</f>
        <v>6307</v>
      </c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T42" s="147"/>
      <c r="U42" s="147"/>
    </row>
    <row r="43" spans="1:21" x14ac:dyDescent="0.2">
      <c r="A43" s="147"/>
      <c r="B43" s="147"/>
      <c r="C43" s="147"/>
      <c r="D43" s="147"/>
      <c r="E43" s="39"/>
      <c r="F43" s="147"/>
      <c r="G43" s="147"/>
      <c r="H43" s="147"/>
      <c r="I43" s="147"/>
      <c r="J43" s="147"/>
      <c r="M43" s="4"/>
      <c r="N43" s="4"/>
      <c r="O43" s="4"/>
      <c r="P43" s="4"/>
      <c r="Q43" s="4"/>
      <c r="R43" s="147"/>
      <c r="T43" s="147"/>
      <c r="U43" s="147"/>
    </row>
    <row r="44" spans="1:21" x14ac:dyDescent="0.2">
      <c r="A44" s="147" t="s">
        <v>231</v>
      </c>
      <c r="B44" s="147"/>
      <c r="C44" s="147"/>
      <c r="D44" s="147"/>
      <c r="E44" s="39"/>
      <c r="F44" s="147"/>
      <c r="G44" s="147"/>
      <c r="H44" s="147"/>
      <c r="I44" s="147"/>
      <c r="J44" s="147"/>
      <c r="M44" s="4"/>
      <c r="N44" s="4"/>
      <c r="O44" s="4"/>
      <c r="P44" s="4"/>
      <c r="Q44" s="4"/>
      <c r="R44" s="147"/>
      <c r="T44" s="147"/>
      <c r="U44" s="147"/>
    </row>
    <row r="45" spans="1:21" x14ac:dyDescent="0.2">
      <c r="A45" s="146" t="s">
        <v>232</v>
      </c>
      <c r="B45" s="148" t="s">
        <v>11</v>
      </c>
      <c r="C45" s="148">
        <f>D92</f>
        <v>1</v>
      </c>
      <c r="D45" s="9">
        <f>Grunduppgifter!B25</f>
        <v>283</v>
      </c>
      <c r="E45" s="13">
        <f>C45*D45</f>
        <v>283</v>
      </c>
      <c r="I45" s="147"/>
      <c r="J45" s="147"/>
      <c r="M45" s="4"/>
      <c r="N45" s="4"/>
      <c r="O45" s="4"/>
      <c r="P45" s="4"/>
      <c r="Q45" s="4"/>
      <c r="R45" s="147"/>
      <c r="T45" s="147"/>
      <c r="U45" s="147"/>
    </row>
    <row r="46" spans="1:21" x14ac:dyDescent="0.2">
      <c r="A46" s="146" t="s">
        <v>58</v>
      </c>
      <c r="B46" s="148" t="s">
        <v>16</v>
      </c>
      <c r="C46" s="96">
        <v>200</v>
      </c>
      <c r="D46" s="4">
        <f>Grunduppgifter!B31</f>
        <v>0.96</v>
      </c>
      <c r="E46" s="13">
        <f>D46*C46</f>
        <v>192</v>
      </c>
      <c r="I46" s="147"/>
      <c r="J46" s="147"/>
      <c r="M46" s="4"/>
      <c r="N46" s="4"/>
      <c r="O46" s="4"/>
      <c r="P46" s="4"/>
      <c r="Q46" s="4"/>
      <c r="R46" s="147"/>
      <c r="T46" s="147"/>
      <c r="U46" s="147"/>
    </row>
    <row r="47" spans="1:21" x14ac:dyDescent="0.2">
      <c r="A47" s="148" t="s">
        <v>233</v>
      </c>
      <c r="C47" s="136">
        <v>0.1</v>
      </c>
      <c r="D47" s="13">
        <f>'Maskiner 1'!K30/2</f>
        <v>7115.6718125290399</v>
      </c>
      <c r="E47" s="13">
        <f>D47*C47</f>
        <v>711.56718125290399</v>
      </c>
      <c r="I47" s="147"/>
      <c r="J47" s="147"/>
      <c r="M47" s="4"/>
      <c r="N47" s="4"/>
      <c r="O47" s="4"/>
      <c r="P47" s="4"/>
      <c r="Q47" s="4"/>
      <c r="R47" s="147"/>
      <c r="T47" s="147"/>
      <c r="U47" s="147"/>
    </row>
    <row r="48" spans="1:21" x14ac:dyDescent="0.2">
      <c r="A48" s="24" t="str">
        <f>Grunduppgifter!A47</f>
        <v>Lagerlådor</v>
      </c>
      <c r="B48" s="27" t="s">
        <v>14</v>
      </c>
      <c r="C48" s="26">
        <f>C4/2</f>
        <v>3000</v>
      </c>
      <c r="D48" s="31">
        <f>Grunduppgifter!B47</f>
        <v>0.12</v>
      </c>
      <c r="E48" s="26">
        <f>D48*C48</f>
        <v>360</v>
      </c>
      <c r="F48" s="24"/>
      <c r="G48" s="24"/>
      <c r="H48" s="24"/>
      <c r="I48" s="147"/>
      <c r="J48" s="147"/>
      <c r="M48" s="4"/>
      <c r="N48" s="4"/>
      <c r="O48" s="4"/>
      <c r="P48" s="4"/>
      <c r="Q48" s="4"/>
      <c r="R48" s="147"/>
      <c r="T48" s="147"/>
      <c r="U48" s="147"/>
    </row>
    <row r="49" spans="1:21" x14ac:dyDescent="0.2">
      <c r="A49" s="147" t="s">
        <v>234</v>
      </c>
      <c r="C49" s="13"/>
      <c r="D49" s="4"/>
      <c r="E49" s="39">
        <f>SUM(E45:E48)</f>
        <v>1546.567181252904</v>
      </c>
      <c r="I49" s="147"/>
      <c r="J49" s="147"/>
      <c r="M49" s="4"/>
      <c r="N49" s="4"/>
      <c r="O49" s="4"/>
      <c r="P49" s="4"/>
      <c r="Q49" s="4"/>
      <c r="R49" s="147"/>
      <c r="T49" s="147"/>
      <c r="U49" s="147"/>
    </row>
    <row r="50" spans="1:21" x14ac:dyDescent="0.2">
      <c r="A50" s="146"/>
      <c r="C50" s="13"/>
      <c r="D50" s="4"/>
      <c r="E50" s="13"/>
      <c r="I50" s="147"/>
      <c r="J50" s="147"/>
      <c r="M50" s="4"/>
      <c r="N50" s="4"/>
      <c r="O50" s="4"/>
      <c r="P50" s="4"/>
      <c r="Q50" s="4"/>
      <c r="R50" s="147"/>
      <c r="T50" s="147"/>
      <c r="U50" s="147"/>
    </row>
    <row r="51" spans="1:21" x14ac:dyDescent="0.2">
      <c r="A51" s="147" t="s">
        <v>235</v>
      </c>
      <c r="C51" s="13"/>
      <c r="D51" s="4"/>
      <c r="E51" s="13"/>
      <c r="I51" s="147"/>
      <c r="J51" s="147"/>
      <c r="M51" s="4"/>
      <c r="N51" s="4"/>
      <c r="O51" s="4"/>
      <c r="P51" s="4"/>
      <c r="Q51" s="4"/>
      <c r="R51" s="147"/>
      <c r="T51" s="147"/>
      <c r="U51" s="147"/>
    </row>
    <row r="52" spans="1:21" x14ac:dyDescent="0.2">
      <c r="A52" s="146" t="s">
        <v>221</v>
      </c>
      <c r="B52" s="148" t="s">
        <v>11</v>
      </c>
      <c r="C52" s="148">
        <f>D93</f>
        <v>3.84</v>
      </c>
      <c r="D52" s="9">
        <f>Grunduppgifter!B25</f>
        <v>283</v>
      </c>
      <c r="E52" s="13">
        <f>C52*D52</f>
        <v>1086.72</v>
      </c>
      <c r="I52" s="147"/>
      <c r="J52" s="147"/>
      <c r="M52" s="4"/>
      <c r="N52" s="4"/>
      <c r="O52" s="4"/>
      <c r="P52" s="4"/>
      <c r="Q52" s="4"/>
      <c r="R52" s="147"/>
      <c r="T52" s="147"/>
      <c r="U52" s="147"/>
    </row>
    <row r="53" spans="1:21" x14ac:dyDescent="0.2">
      <c r="A53" s="146" t="s">
        <v>222</v>
      </c>
      <c r="B53" s="148" t="s">
        <v>11</v>
      </c>
      <c r="C53" s="148">
        <f>C93</f>
        <v>15.36</v>
      </c>
      <c r="D53" s="9">
        <f>Grunduppgifter!B26</f>
        <v>186</v>
      </c>
      <c r="E53" s="13">
        <f>C53*D53</f>
        <v>2856.96</v>
      </c>
      <c r="I53" s="147"/>
      <c r="J53" s="147"/>
      <c r="M53" s="4"/>
      <c r="N53" s="4"/>
      <c r="O53" s="4"/>
      <c r="P53" s="4"/>
      <c r="Q53" s="4"/>
      <c r="R53" s="147"/>
      <c r="T53" s="147"/>
      <c r="U53" s="147"/>
    </row>
    <row r="54" spans="1:21" x14ac:dyDescent="0.2">
      <c r="A54" s="148" t="s">
        <v>267</v>
      </c>
      <c r="C54" s="148">
        <v>0.1</v>
      </c>
      <c r="D54" s="13"/>
      <c r="E54" s="13">
        <f>C54*D54</f>
        <v>0</v>
      </c>
      <c r="I54" s="147"/>
      <c r="J54" s="147"/>
      <c r="M54" s="4"/>
      <c r="N54" s="4"/>
      <c r="O54" s="4"/>
      <c r="P54" s="4"/>
      <c r="Q54" s="4"/>
      <c r="R54" s="147"/>
      <c r="T54" s="147"/>
      <c r="U54" s="147"/>
    </row>
    <row r="55" spans="1:21" x14ac:dyDescent="0.2">
      <c r="A55" s="146" t="s">
        <v>236</v>
      </c>
      <c r="C55" s="148">
        <v>0.1</v>
      </c>
      <c r="D55" s="13">
        <f>'Maskiner 1'!J30</f>
        <v>6566.3263932658247</v>
      </c>
      <c r="E55" s="13">
        <f>C55*D55</f>
        <v>656.63263932658253</v>
      </c>
      <c r="I55" s="147"/>
      <c r="J55" s="147"/>
      <c r="M55" s="4"/>
      <c r="N55" s="4"/>
      <c r="O55" s="4"/>
      <c r="P55" s="4"/>
      <c r="Q55" s="4"/>
      <c r="R55" s="147"/>
      <c r="T55" s="147"/>
      <c r="U55" s="147"/>
    </row>
    <row r="56" spans="1:21" x14ac:dyDescent="0.2">
      <c r="A56" s="146" t="s">
        <v>237</v>
      </c>
      <c r="B56" s="148" t="s">
        <v>16</v>
      </c>
      <c r="C56" s="96">
        <v>500</v>
      </c>
      <c r="D56" s="4">
        <f>Grunduppgifter!B31</f>
        <v>0.96</v>
      </c>
      <c r="E56" s="13">
        <f>D56*C56</f>
        <v>480</v>
      </c>
      <c r="I56" s="147"/>
      <c r="J56" s="147"/>
      <c r="M56" s="4"/>
      <c r="N56" s="4"/>
      <c r="O56" s="4"/>
      <c r="P56" s="4"/>
      <c r="Q56" s="4"/>
      <c r="R56" s="147"/>
      <c r="T56" s="147"/>
      <c r="U56" s="147"/>
    </row>
    <row r="57" spans="1:21" x14ac:dyDescent="0.2">
      <c r="A57" s="146" t="s">
        <v>392</v>
      </c>
      <c r="B57" s="148" t="s">
        <v>269</v>
      </c>
      <c r="C57" s="13"/>
      <c r="D57" s="4">
        <v>0</v>
      </c>
      <c r="E57" s="13">
        <f>C57*D57</f>
        <v>0</v>
      </c>
      <c r="I57" s="147"/>
      <c r="J57" s="147"/>
      <c r="M57" s="4"/>
      <c r="N57" s="4"/>
      <c r="O57" s="4"/>
      <c r="P57" s="4"/>
      <c r="Q57" s="4"/>
      <c r="R57" s="147"/>
      <c r="T57" s="147"/>
      <c r="U57" s="147"/>
    </row>
    <row r="58" spans="1:21" x14ac:dyDescent="0.2">
      <c r="A58" s="29" t="s">
        <v>303</v>
      </c>
      <c r="B58" s="24" t="s">
        <v>120</v>
      </c>
      <c r="C58" s="26">
        <f>C9/6</f>
        <v>800</v>
      </c>
      <c r="D58" s="31">
        <v>1.6</v>
      </c>
      <c r="E58" s="26">
        <f>C58*D58</f>
        <v>1280</v>
      </c>
      <c r="F58" s="24"/>
      <c r="G58" s="24"/>
      <c r="H58" s="24"/>
      <c r="I58" s="147"/>
      <c r="J58" s="147"/>
      <c r="M58" s="4"/>
      <c r="N58" s="4"/>
      <c r="O58" s="4"/>
      <c r="P58" s="4"/>
      <c r="Q58" s="4"/>
      <c r="R58" s="147"/>
      <c r="T58" s="147"/>
      <c r="U58" s="147"/>
    </row>
    <row r="59" spans="1:21" x14ac:dyDescent="0.2">
      <c r="A59" s="147" t="s">
        <v>238</v>
      </c>
      <c r="C59" s="13"/>
      <c r="D59" s="4"/>
      <c r="E59" s="39">
        <f>SUM(E52:E58)</f>
        <v>6360.3126393265829</v>
      </c>
      <c r="I59" s="147"/>
      <c r="J59" s="147"/>
      <c r="M59" s="4"/>
      <c r="N59" s="4"/>
      <c r="O59" s="4"/>
      <c r="P59" s="4"/>
      <c r="Q59" s="4"/>
      <c r="R59" s="147"/>
      <c r="T59" s="147"/>
      <c r="U59" s="147"/>
    </row>
    <row r="60" spans="1:21" x14ac:dyDescent="0.2">
      <c r="A60" s="146"/>
      <c r="C60" s="13"/>
      <c r="D60" s="4"/>
      <c r="E60" s="13"/>
      <c r="I60" s="147"/>
      <c r="J60" s="147"/>
      <c r="M60" s="4"/>
      <c r="N60" s="4"/>
      <c r="O60" s="4"/>
      <c r="P60" s="4"/>
      <c r="Q60" s="4"/>
      <c r="R60" s="147"/>
      <c r="T60" s="147"/>
      <c r="U60" s="147"/>
    </row>
    <row r="61" spans="1:21" x14ac:dyDescent="0.2">
      <c r="A61" s="147" t="s">
        <v>131</v>
      </c>
      <c r="C61" s="13"/>
      <c r="D61" s="4"/>
      <c r="E61" s="13"/>
      <c r="I61" s="147"/>
      <c r="J61" s="147"/>
      <c r="M61" s="4"/>
      <c r="N61" s="4"/>
      <c r="O61" s="4"/>
      <c r="P61" s="4"/>
      <c r="Q61" s="4"/>
      <c r="R61" s="147"/>
      <c r="T61" s="147"/>
      <c r="U61" s="147"/>
    </row>
    <row r="62" spans="1:21" x14ac:dyDescent="0.2">
      <c r="A62" s="148" t="s">
        <v>19</v>
      </c>
      <c r="B62" s="146"/>
      <c r="C62" s="13">
        <v>1</v>
      </c>
      <c r="D62" s="9">
        <f>Grunduppgifter!B58</f>
        <v>1500</v>
      </c>
      <c r="E62" s="13">
        <f>C62*D62</f>
        <v>1500</v>
      </c>
      <c r="F62" s="13"/>
      <c r="H62" s="148" t="s">
        <v>139</v>
      </c>
      <c r="I62" s="147"/>
      <c r="J62" s="147"/>
      <c r="M62" s="4"/>
      <c r="N62" s="4"/>
      <c r="O62" s="4"/>
      <c r="P62" s="4"/>
      <c r="Q62" s="4"/>
      <c r="R62" s="147"/>
      <c r="T62" s="147"/>
      <c r="U62" s="147"/>
    </row>
    <row r="63" spans="1:21" x14ac:dyDescent="0.2">
      <c r="A63" s="24" t="s">
        <v>134</v>
      </c>
      <c r="B63" s="109" t="s">
        <v>11</v>
      </c>
      <c r="C63" s="26">
        <f>D94</f>
        <v>60</v>
      </c>
      <c r="D63" s="26">
        <f>Grunduppgifter!B25</f>
        <v>283</v>
      </c>
      <c r="E63" s="26">
        <f>C63*D63</f>
        <v>16980</v>
      </c>
      <c r="F63" s="26"/>
      <c r="G63" s="24"/>
      <c r="H63" s="24" t="s">
        <v>139</v>
      </c>
      <c r="I63" s="147"/>
      <c r="J63" s="147"/>
      <c r="M63" s="4"/>
      <c r="N63" s="4"/>
      <c r="O63" s="4"/>
      <c r="P63" s="4"/>
      <c r="Q63" s="4"/>
      <c r="R63" s="147"/>
      <c r="T63" s="147"/>
      <c r="U63" s="147"/>
    </row>
    <row r="64" spans="1:21" x14ac:dyDescent="0.2">
      <c r="A64" s="147" t="s">
        <v>239</v>
      </c>
      <c r="B64" s="147"/>
      <c r="C64" s="147"/>
      <c r="D64" s="147"/>
      <c r="E64" s="39">
        <f>SUM(E62:E63)</f>
        <v>18480</v>
      </c>
      <c r="F64" s="147"/>
      <c r="G64" s="147"/>
      <c r="H64" s="147"/>
      <c r="I64" s="147"/>
      <c r="J64" s="147"/>
      <c r="M64" s="4"/>
      <c r="N64" s="4"/>
      <c r="O64" s="4"/>
      <c r="P64" s="4"/>
      <c r="Q64" s="4"/>
      <c r="R64" s="147"/>
      <c r="T64" s="147"/>
      <c r="U64" s="147"/>
    </row>
    <row r="65" spans="1:21" x14ac:dyDescent="0.2">
      <c r="A65" s="30"/>
      <c r="B65" s="24"/>
      <c r="C65" s="24"/>
      <c r="D65" s="24"/>
      <c r="E65" s="26"/>
      <c r="F65" s="24"/>
      <c r="G65" s="24"/>
      <c r="H65" s="24"/>
      <c r="S65" s="147"/>
    </row>
    <row r="66" spans="1:21" x14ac:dyDescent="0.2">
      <c r="A66" s="147" t="s">
        <v>240</v>
      </c>
      <c r="B66" s="46"/>
      <c r="C66" s="46"/>
      <c r="D66" s="46"/>
      <c r="E66" s="110">
        <f>E35+E42+E49+E59+E64</f>
        <v>56964.181548244916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147"/>
      <c r="T66" s="46"/>
      <c r="U66" s="46"/>
    </row>
    <row r="67" spans="1:21" x14ac:dyDescent="0.2">
      <c r="A67" s="46"/>
      <c r="E67" s="13"/>
      <c r="S67" s="147"/>
    </row>
    <row r="68" spans="1:21" x14ac:dyDescent="0.2">
      <c r="A68" s="147" t="s">
        <v>241</v>
      </c>
      <c r="E68" s="9"/>
    </row>
    <row r="69" spans="1:21" x14ac:dyDescent="0.2">
      <c r="A69" s="148" t="s">
        <v>121</v>
      </c>
      <c r="C69" s="148">
        <v>0.1</v>
      </c>
      <c r="D69" s="13">
        <f>Grunduppgifter!B67/(Grunduppgifter!B21+0.05*(Grunduppgifter!B20-Grunduppgifter!B21))</f>
        <v>27272.727272727272</v>
      </c>
      <c r="E69" s="13">
        <f>C69*D69</f>
        <v>2727.2727272727275</v>
      </c>
    </row>
    <row r="70" spans="1:21" x14ac:dyDescent="0.2">
      <c r="A70" s="24" t="s">
        <v>215</v>
      </c>
      <c r="B70" s="24"/>
      <c r="C70" s="24">
        <v>0.1</v>
      </c>
      <c r="D70" s="26">
        <f>Grunduppgifter!B68/(Grunduppgifter!B21+0.05*(Grunduppgifter!B20-Grunduppgifter!B21))</f>
        <v>27272.727272727272</v>
      </c>
      <c r="E70" s="26">
        <f>C70*D70</f>
        <v>2727.2727272727275</v>
      </c>
      <c r="F70" s="24"/>
      <c r="G70" s="24"/>
      <c r="H70" s="24"/>
      <c r="R70" s="147"/>
    </row>
    <row r="71" spans="1:21" x14ac:dyDescent="0.2">
      <c r="A71" s="147" t="s">
        <v>242</v>
      </c>
      <c r="B71" s="147"/>
      <c r="C71" s="147"/>
      <c r="D71" s="39"/>
      <c r="E71" s="39">
        <f>SUM(E69:E70)</f>
        <v>5454.545454545455</v>
      </c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T71" s="147"/>
      <c r="U71" s="147"/>
    </row>
    <row r="72" spans="1:21" x14ac:dyDescent="0.2">
      <c r="A72" s="46"/>
      <c r="D72" s="13"/>
      <c r="E72" s="13"/>
      <c r="R72" s="147"/>
      <c r="S72" s="146"/>
    </row>
    <row r="73" spans="1:21" x14ac:dyDescent="0.2">
      <c r="A73" s="30" t="s">
        <v>0</v>
      </c>
      <c r="B73" s="24"/>
      <c r="C73" s="24"/>
      <c r="D73" s="24"/>
      <c r="E73" s="52">
        <f>E11-E66-E71</f>
        <v>0</v>
      </c>
      <c r="F73" s="24"/>
      <c r="G73" s="24"/>
      <c r="H73" s="24"/>
      <c r="S73" s="147"/>
    </row>
    <row r="74" spans="1:21" x14ac:dyDescent="0.2">
      <c r="A74" s="147"/>
      <c r="E74" s="9"/>
      <c r="S74" s="147"/>
    </row>
    <row r="75" spans="1:21" x14ac:dyDescent="0.2">
      <c r="A75" s="147"/>
    </row>
    <row r="76" spans="1:21" ht="15.75" x14ac:dyDescent="0.25">
      <c r="A76" s="53" t="s">
        <v>243</v>
      </c>
      <c r="B76" s="24"/>
      <c r="C76" s="24"/>
      <c r="D76" s="24"/>
      <c r="E76" s="24"/>
      <c r="F76" s="24"/>
      <c r="G76" s="24"/>
      <c r="H76" s="24"/>
    </row>
    <row r="77" spans="1:21" x14ac:dyDescent="0.2">
      <c r="A77" s="147"/>
      <c r="B77" s="111"/>
      <c r="C77" s="133" t="s">
        <v>244</v>
      </c>
      <c r="D77" s="133" t="s">
        <v>245</v>
      </c>
      <c r="E77" s="111"/>
      <c r="F77" s="133" t="s">
        <v>29</v>
      </c>
      <c r="G77" s="50"/>
      <c r="H77" s="147" t="s">
        <v>30</v>
      </c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</row>
    <row r="78" spans="1:21" x14ac:dyDescent="0.2">
      <c r="A78" s="30" t="s">
        <v>27</v>
      </c>
      <c r="B78" s="30"/>
      <c r="C78" s="134" t="s">
        <v>284</v>
      </c>
      <c r="D78" s="134" t="s">
        <v>284</v>
      </c>
      <c r="E78" s="112"/>
      <c r="F78" s="134" t="s">
        <v>284</v>
      </c>
      <c r="G78" s="49"/>
      <c r="H78" s="30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</row>
    <row r="79" spans="1:21" x14ac:dyDescent="0.2">
      <c r="A79" s="148" t="s">
        <v>82</v>
      </c>
      <c r="D79" s="148">
        <v>2</v>
      </c>
      <c r="F79" s="148">
        <v>2</v>
      </c>
    </row>
    <row r="80" spans="1:21" x14ac:dyDescent="0.2">
      <c r="A80" s="148" t="s">
        <v>33</v>
      </c>
      <c r="D80" s="148">
        <v>2</v>
      </c>
      <c r="F80" s="148">
        <v>2</v>
      </c>
    </row>
    <row r="81" spans="1:21" x14ac:dyDescent="0.2">
      <c r="A81" s="148" t="s">
        <v>55</v>
      </c>
      <c r="C81" s="9">
        <f>C16/250*8/10</f>
        <v>12.8</v>
      </c>
      <c r="D81" s="9">
        <f>C16/250*2/10</f>
        <v>3.2</v>
      </c>
      <c r="F81" s="148">
        <v>1</v>
      </c>
      <c r="H81" s="148" t="s">
        <v>410</v>
      </c>
    </row>
    <row r="82" spans="1:21" x14ac:dyDescent="0.2">
      <c r="A82" s="148" t="s">
        <v>247</v>
      </c>
      <c r="D82" s="148">
        <v>5</v>
      </c>
      <c r="F82" s="148">
        <v>0</v>
      </c>
    </row>
    <row r="83" spans="1:21" x14ac:dyDescent="0.2">
      <c r="A83" s="148" t="s">
        <v>34</v>
      </c>
      <c r="D83" s="148">
        <v>5</v>
      </c>
      <c r="F83" s="148">
        <v>0</v>
      </c>
      <c r="H83" s="148" t="s">
        <v>402</v>
      </c>
    </row>
    <row r="84" spans="1:21" x14ac:dyDescent="0.2">
      <c r="A84" s="148" t="s">
        <v>88</v>
      </c>
      <c r="D84" s="148">
        <v>6</v>
      </c>
      <c r="F84" s="148">
        <v>0</v>
      </c>
    </row>
    <row r="85" spans="1:21" x14ac:dyDescent="0.2">
      <c r="A85" s="148" t="s">
        <v>64</v>
      </c>
      <c r="F85" s="148">
        <v>0</v>
      </c>
    </row>
    <row r="86" spans="1:21" x14ac:dyDescent="0.2">
      <c r="A86" s="148" t="s">
        <v>248</v>
      </c>
      <c r="C86" s="148">
        <v>6</v>
      </c>
      <c r="D86" s="148">
        <v>1</v>
      </c>
      <c r="F86" s="148">
        <v>0</v>
      </c>
      <c r="H86" s="146" t="s">
        <v>126</v>
      </c>
      <c r="I86" s="146"/>
    </row>
    <row r="87" spans="1:21" x14ac:dyDescent="0.2">
      <c r="A87" s="186" t="s">
        <v>409</v>
      </c>
      <c r="C87" s="148">
        <v>11</v>
      </c>
      <c r="D87" s="148">
        <v>1</v>
      </c>
      <c r="F87" s="148">
        <v>0</v>
      </c>
      <c r="H87" s="146"/>
    </row>
    <row r="88" spans="1:21" x14ac:dyDescent="0.2">
      <c r="A88" s="24" t="s">
        <v>127</v>
      </c>
      <c r="B88" s="24"/>
      <c r="C88" s="24"/>
      <c r="D88" s="24">
        <v>2</v>
      </c>
      <c r="E88" s="24"/>
      <c r="F88" s="24">
        <v>0</v>
      </c>
      <c r="G88" s="24"/>
      <c r="H88" s="24"/>
    </row>
    <row r="89" spans="1:21" x14ac:dyDescent="0.2">
      <c r="A89" s="146" t="s">
        <v>249</v>
      </c>
      <c r="C89" s="9">
        <f>SUM(C79:C88)</f>
        <v>29.8</v>
      </c>
      <c r="D89" s="9">
        <f>SUM(D79:D88)</f>
        <v>27.2</v>
      </c>
      <c r="F89" s="148">
        <f>SUM(F79:F88)</f>
        <v>5</v>
      </c>
    </row>
    <row r="91" spans="1:21" x14ac:dyDescent="0.2">
      <c r="A91" s="146" t="s">
        <v>250</v>
      </c>
      <c r="C91" s="9">
        <f>(0.2*C4/200+0.8*C4/200)*4/5</f>
        <v>24</v>
      </c>
      <c r="D91" s="9">
        <f>(0.2*C4/200+0.8*C4/200)*1/5</f>
        <v>6</v>
      </c>
      <c r="F91" s="4">
        <f>0.2*5000/200/20+0.8*C4/200/20</f>
        <v>1.45</v>
      </c>
      <c r="H91" s="146" t="s">
        <v>305</v>
      </c>
    </row>
    <row r="92" spans="1:21" x14ac:dyDescent="0.2">
      <c r="A92" s="146" t="s">
        <v>231</v>
      </c>
      <c r="D92" s="148">
        <v>1</v>
      </c>
    </row>
    <row r="93" spans="1:21" x14ac:dyDescent="0.2">
      <c r="A93" s="22" t="s">
        <v>128</v>
      </c>
      <c r="B93" s="22"/>
      <c r="C93" s="196">
        <f>C9/250*4/5</f>
        <v>15.36</v>
      </c>
      <c r="D93" s="196">
        <f>C9/250*1/5</f>
        <v>3.84</v>
      </c>
      <c r="E93" s="22"/>
      <c r="F93" s="22">
        <v>0</v>
      </c>
      <c r="G93" s="22"/>
      <c r="H93" s="22" t="s">
        <v>138</v>
      </c>
    </row>
    <row r="94" spans="1:21" s="194" customFormat="1" x14ac:dyDescent="0.2">
      <c r="A94" s="60" t="s">
        <v>259</v>
      </c>
      <c r="B94" s="24"/>
      <c r="C94" s="24"/>
      <c r="D94" s="24">
        <f>Grunduppgifter!B27</f>
        <v>60</v>
      </c>
      <c r="E94" s="24"/>
      <c r="F94" s="24"/>
      <c r="G94" s="24"/>
      <c r="H94" s="24"/>
    </row>
    <row r="95" spans="1:21" x14ac:dyDescent="0.2">
      <c r="A95" s="147" t="s">
        <v>251</v>
      </c>
      <c r="B95" s="147"/>
      <c r="C95" s="45">
        <f>SUM(C89:C94)</f>
        <v>69.16</v>
      </c>
      <c r="D95" s="45">
        <f>SUM(D89:D94)</f>
        <v>98.04</v>
      </c>
      <c r="E95" s="147"/>
      <c r="F95" s="45">
        <f>SUM(F89:F94)</f>
        <v>6.45</v>
      </c>
      <c r="G95" s="147"/>
      <c r="H95" s="147">
        <f>SUM(B95:D95)</f>
        <v>167.2</v>
      </c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</row>
    <row r="96" spans="1:21" x14ac:dyDescent="0.2">
      <c r="A96" s="147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</row>
    <row r="98" spans="1:8" ht="25.5" x14ac:dyDescent="0.25">
      <c r="A98" s="53" t="s">
        <v>132</v>
      </c>
      <c r="B98" s="114"/>
      <c r="C98" s="115" t="s">
        <v>252</v>
      </c>
      <c r="D98" s="115" t="s">
        <v>253</v>
      </c>
    </row>
    <row r="99" spans="1:8" x14ac:dyDescent="0.2">
      <c r="A99" s="148" t="s">
        <v>278</v>
      </c>
      <c r="B99" s="116"/>
      <c r="C99" s="116">
        <f>(E28-E10)/C9</f>
        <v>4.1320876935606066</v>
      </c>
      <c r="D99" s="116">
        <f t="shared" ref="D99:D104" si="1">C99+$C$105*C99/($C$106-$C$105)</f>
        <v>4.5312550865641947</v>
      </c>
    </row>
    <row r="100" spans="1:8" x14ac:dyDescent="0.2">
      <c r="A100" s="148" t="s">
        <v>254</v>
      </c>
      <c r="B100" s="116"/>
      <c r="C100" s="116">
        <f>E34/C9</f>
        <v>0.82005849970302513</v>
      </c>
      <c r="D100" s="116">
        <f t="shared" si="1"/>
        <v>0.89927768325206103</v>
      </c>
    </row>
    <row r="101" spans="1:8" x14ac:dyDescent="0.2">
      <c r="A101" s="148" t="s">
        <v>258</v>
      </c>
      <c r="B101" s="116"/>
      <c r="C101" s="116">
        <f>E42/C9</f>
        <v>1.3139583333333333</v>
      </c>
      <c r="D101" s="116">
        <f t="shared" si="1"/>
        <v>1.4408891637823975</v>
      </c>
    </row>
    <row r="102" spans="1:8" x14ac:dyDescent="0.2">
      <c r="A102" s="148" t="s">
        <v>231</v>
      </c>
      <c r="B102" s="116"/>
      <c r="C102" s="116">
        <f>E49/C9</f>
        <v>0.322201496094355</v>
      </c>
      <c r="D102" s="116">
        <f t="shared" si="1"/>
        <v>0.35332676272852331</v>
      </c>
    </row>
    <row r="103" spans="1:8" x14ac:dyDescent="0.2">
      <c r="A103" s="148" t="s">
        <v>235</v>
      </c>
      <c r="B103" s="116"/>
      <c r="C103" s="116">
        <f>E59/C9</f>
        <v>1.3250651331930381</v>
      </c>
      <c r="D103" s="116">
        <f t="shared" si="1"/>
        <v>1.4530689012642926</v>
      </c>
    </row>
    <row r="104" spans="1:8" x14ac:dyDescent="0.2">
      <c r="A104" s="148" t="s">
        <v>131</v>
      </c>
      <c r="B104" s="116"/>
      <c r="C104" s="116">
        <f>E64/C9</f>
        <v>3.85</v>
      </c>
      <c r="D104" s="116">
        <f t="shared" si="1"/>
        <v>4.2219171946565259</v>
      </c>
    </row>
    <row r="105" spans="1:8" x14ac:dyDescent="0.2">
      <c r="A105" s="24" t="s">
        <v>241</v>
      </c>
      <c r="B105" s="117"/>
      <c r="C105" s="117">
        <f>E71/C9</f>
        <v>1.1363636363636365</v>
      </c>
      <c r="D105" s="117"/>
    </row>
    <row r="106" spans="1:8" x14ac:dyDescent="0.2">
      <c r="B106" s="113"/>
      <c r="C106" s="113">
        <f>SUM(C99:C105)</f>
        <v>12.899734792247996</v>
      </c>
      <c r="D106" s="113">
        <f>SUM(D99:D105)</f>
        <v>12.899734792247994</v>
      </c>
    </row>
    <row r="107" spans="1:8" s="169" customFormat="1" x14ac:dyDescent="0.2">
      <c r="B107" s="113"/>
      <c r="C107" s="113"/>
      <c r="D107" s="113"/>
    </row>
    <row r="109" spans="1:8" x14ac:dyDescent="0.2">
      <c r="A109" s="58" t="s">
        <v>255</v>
      </c>
      <c r="B109" s="58"/>
      <c r="C109" s="118">
        <v>-0.5</v>
      </c>
      <c r="D109" s="118">
        <v>-0.25</v>
      </c>
      <c r="E109" s="58">
        <v>0</v>
      </c>
      <c r="F109" s="118">
        <v>0.25</v>
      </c>
      <c r="G109" s="118">
        <v>0.5</v>
      </c>
    </row>
    <row r="110" spans="1:8" x14ac:dyDescent="0.2">
      <c r="A110" s="148" t="s">
        <v>256</v>
      </c>
      <c r="B110" s="148" t="s">
        <v>246</v>
      </c>
      <c r="C110" s="9">
        <f>($C$95+$D$95)*(1+C109)</f>
        <v>83.6</v>
      </c>
      <c r="D110" s="9">
        <f>($C$95+$D$95)*(1+D109)</f>
        <v>125.39999999999999</v>
      </c>
      <c r="E110" s="9">
        <f>($C$95+$D$95)*(1+E109)</f>
        <v>167.2</v>
      </c>
      <c r="F110" s="9">
        <f>($C$95+$D$95)*(1+F109)</f>
        <v>209</v>
      </c>
      <c r="G110" s="9">
        <f>($C$95+$D$95)*(1+G109)</f>
        <v>250.79999999999998</v>
      </c>
    </row>
    <row r="111" spans="1:8" x14ac:dyDescent="0.2">
      <c r="A111" s="24" t="s">
        <v>116</v>
      </c>
      <c r="B111" s="24" t="s">
        <v>133</v>
      </c>
      <c r="C111" s="31">
        <f>($E$66+$E$71-$E$10+C109*($E$14+$E$15+$E$38+$E$39+$E$45+$E$52+$E$53))/$C$9</f>
        <v>10.438372292247994</v>
      </c>
      <c r="D111" s="31">
        <f>($E$66+$E$71-$E$10+D109*($E$14+$E$15+$E$38+$E$39+$E$45+$E$52+$E$53))/$C$9</f>
        <v>11.669053542247994</v>
      </c>
      <c r="E111" s="31">
        <f>($E$66+$E$71-$E$10+E109*($E$14+$E$15+$E$38+$E$39+$E$45+$E$52+$E$53))/$C$9</f>
        <v>12.899734792247994</v>
      </c>
      <c r="F111" s="31">
        <f>($E$66+$E$71-$E$10+F109*($E$14+$E$15+$E$38+$E$39+$E$45+$E$52+$E$53))/$C$9</f>
        <v>14.130416042247996</v>
      </c>
      <c r="G111" s="31">
        <f>($E$66+$E$71-$E$10+G109*($E$14+$E$15+$E$38+$E$39+$E$45+$E$52+$E$53))/$C$9</f>
        <v>15.361097292247996</v>
      </c>
      <c r="H111" s="147"/>
    </row>
    <row r="114" spans="1:9" x14ac:dyDescent="0.2">
      <c r="A114" s="30" t="s">
        <v>255</v>
      </c>
      <c r="B114" s="30"/>
      <c r="C114" s="119">
        <v>-0.5</v>
      </c>
      <c r="D114" s="119">
        <v>-0.25</v>
      </c>
      <c r="E114" s="30">
        <v>0</v>
      </c>
      <c r="F114" s="119">
        <v>0.25</v>
      </c>
      <c r="G114" s="119">
        <v>0.5</v>
      </c>
    </row>
    <row r="115" spans="1:9" x14ac:dyDescent="0.2">
      <c r="A115" s="148" t="s">
        <v>4</v>
      </c>
      <c r="B115" s="148" t="s">
        <v>257</v>
      </c>
      <c r="C115" s="136">
        <f>$C$9/1000*(1+C114)</f>
        <v>2.4</v>
      </c>
      <c r="D115" s="136">
        <f>$C$9/1000*(1+D114)</f>
        <v>3.5999999999999996</v>
      </c>
      <c r="E115" s="136">
        <f>$C$9/1000*(1+E114)</f>
        <v>4.8</v>
      </c>
      <c r="F115" s="136">
        <f>$C$9/1000*(1+F114)</f>
        <v>6</v>
      </c>
      <c r="G115" s="136">
        <f>$C$9/1000*(1+G114)</f>
        <v>7.1999999999999993</v>
      </c>
    </row>
    <row r="116" spans="1:9" x14ac:dyDescent="0.2">
      <c r="A116" s="148" t="s">
        <v>220</v>
      </c>
      <c r="B116" s="148" t="s">
        <v>202</v>
      </c>
      <c r="C116" s="13">
        <f>$E$35</f>
        <v>24270.301727665432</v>
      </c>
      <c r="D116" s="13">
        <f>$E$35</f>
        <v>24270.301727665432</v>
      </c>
      <c r="E116" s="13">
        <f>$E$35</f>
        <v>24270.301727665432</v>
      </c>
      <c r="F116" s="13">
        <f>$E$35</f>
        <v>24270.301727665432</v>
      </c>
      <c r="G116" s="13">
        <f>$E$35</f>
        <v>24270.301727665432</v>
      </c>
    </row>
    <row r="117" spans="1:9" x14ac:dyDescent="0.2">
      <c r="A117" s="148" t="s">
        <v>258</v>
      </c>
      <c r="B117" s="148" t="s">
        <v>202</v>
      </c>
      <c r="C117" s="13">
        <f>((0.2*$C$4/200+0.8*$C$4*(1+C114)/200)*4/5*Grunduppgifter!$B$26)+((0.2*$C$4/200+0.8*$C$4*(1+C114)/200)*1/5*Grunduppgifter!$B$25)+((0.2*$C$4/200/20+0.8*$C$4*(1+C114)/200/20)*Grunduppgifter!$B$30)</f>
        <v>3787.2000000000003</v>
      </c>
      <c r="D117" s="13">
        <f>((0.2*$C$4/200+0.8*$C$4*(1+D114)/200)*4/5*Grunduppgifter!$B$26)+((0.2*$C$4/200+0.8*$C$4*(1+D114)/200)*1/5*Grunduppgifter!$B$25)+((0.2*$C$4/200/20+0.8*$C$4*(1+D114)/200/20)*Grunduppgifter!$B$30)</f>
        <v>5049.5999999999995</v>
      </c>
      <c r="E117" s="13">
        <f>((0.2*$C$4/200+0.8*$C$4*(1+E114)/200)*4/5*Grunduppgifter!$B$26)+((0.2*$C$4/200+0.8*$C$4*(1+E114)/200)*1/5*Grunduppgifter!$B$25)+((0.2*$C$4/200/20+0.8*$C$4*(1+E114)/200/20)*Grunduppgifter!$B$30)</f>
        <v>6312</v>
      </c>
      <c r="F117" s="13">
        <f>((0.2*$C$4/200+0.8*$C$4*(1+F114)/200)*4/5*Grunduppgifter!$B$26)+((0.2*$C$4/200+0.8*$C$4*(1+F114)/200)*1/5*Grunduppgifter!$B$25)+((0.2*$C$4/200/20+0.8*$C$4*(1+F114)/200/20)*Grunduppgifter!$B$30)</f>
        <v>7574.4000000000005</v>
      </c>
      <c r="G117" s="13">
        <f>((0.2*$C$4/200+0.8*$C$4*(1+G114)/200)*4/5*Grunduppgifter!$B$26)+((0.2*$C$4/200+0.8*$C$4*(1+G114)/200)*1/5*Grunduppgifter!$B$25)+((0.2*$C$4/200/20+0.8*$C$4*(1+G114)/200/20)*Grunduppgifter!$B$30)</f>
        <v>8836.8000000000011</v>
      </c>
    </row>
    <row r="118" spans="1:9" x14ac:dyDescent="0.2">
      <c r="A118" s="148" t="s">
        <v>228</v>
      </c>
      <c r="B118" s="148" t="s">
        <v>202</v>
      </c>
      <c r="C118" s="13">
        <f>$E$40</f>
        <v>0</v>
      </c>
      <c r="D118" s="13">
        <f>$E$40</f>
        <v>0</v>
      </c>
      <c r="E118" s="13">
        <f>$E$40</f>
        <v>0</v>
      </c>
      <c r="F118" s="13">
        <f>$E$40</f>
        <v>0</v>
      </c>
      <c r="G118" s="13">
        <f>$E$40</f>
        <v>0</v>
      </c>
    </row>
    <row r="119" spans="1:9" x14ac:dyDescent="0.2">
      <c r="A119" s="148" t="s">
        <v>231</v>
      </c>
      <c r="B119" s="148" t="s">
        <v>202</v>
      </c>
      <c r="C119" s="13">
        <f t="shared" ref="C119:D119" si="2">$E$45+$E$46+$E$47+$E$48*(1+C114)</f>
        <v>1366.567181252904</v>
      </c>
      <c r="D119" s="13">
        <f t="shared" si="2"/>
        <v>1456.567181252904</v>
      </c>
      <c r="E119" s="13">
        <f>$E$45+$E$46+$E$47+$E$48*(1+E114)</f>
        <v>1546.567181252904</v>
      </c>
      <c r="F119" s="13">
        <f>$E$45+$E$46+$E$47+$E$48*(1+F114)</f>
        <v>1636.567181252904</v>
      </c>
      <c r="G119" s="13">
        <f>$E$45+$E$46+$E$47+$E$48*(1+G114)</f>
        <v>1726.567181252904</v>
      </c>
    </row>
    <row r="120" spans="1:9" x14ac:dyDescent="0.2">
      <c r="A120" s="148" t="s">
        <v>235</v>
      </c>
      <c r="B120" s="148" t="s">
        <v>202</v>
      </c>
      <c r="C120" s="13">
        <f t="shared" ref="C120:D120" si="3">$E$54+$E$55+$E$56+($E$52+$E$53+$E$57+$E$58)*(1+C114)</f>
        <v>3748.4726393265828</v>
      </c>
      <c r="D120" s="13">
        <f t="shared" si="3"/>
        <v>5054.3926393265829</v>
      </c>
      <c r="E120" s="13">
        <f>$E$54+$E$55+$E$56+($E$52+$E$53+$E$57+$E$58)*(1+E114)</f>
        <v>6360.3126393265829</v>
      </c>
      <c r="F120" s="13">
        <f t="shared" ref="F120:G120" si="4">$E$54+$E$55+$E$56+($E$52+$E$53+$E$57+$E$58)*(1+F114)</f>
        <v>7666.232639326583</v>
      </c>
      <c r="G120" s="13">
        <f t="shared" si="4"/>
        <v>8972.1526393265831</v>
      </c>
    </row>
    <row r="121" spans="1:9" x14ac:dyDescent="0.2">
      <c r="A121" s="148" t="s">
        <v>259</v>
      </c>
      <c r="B121" s="148" t="s">
        <v>202</v>
      </c>
      <c r="C121" s="13">
        <f t="shared" ref="C121:D121" si="5">0.2*$E$64+0.8*$E$64*(1+C114)</f>
        <v>11088</v>
      </c>
      <c r="D121" s="13">
        <f t="shared" si="5"/>
        <v>14784</v>
      </c>
      <c r="E121" s="13">
        <f>0.2*$E$64+0.8*$E$64*(1+E114)</f>
        <v>18480</v>
      </c>
      <c r="F121" s="13">
        <f t="shared" ref="F121:G121" si="6">0.2*$E$64+0.8*$E$64*(1+F114)</f>
        <v>22176</v>
      </c>
      <c r="G121" s="13">
        <f t="shared" si="6"/>
        <v>25872</v>
      </c>
      <c r="H121" s="13"/>
    </row>
    <row r="122" spans="1:9" x14ac:dyDescent="0.2">
      <c r="A122" s="148" t="s">
        <v>260</v>
      </c>
      <c r="B122" s="148" t="s">
        <v>202</v>
      </c>
      <c r="C122" s="13">
        <f>SUM(C117:C121)</f>
        <v>19990.239820579489</v>
      </c>
      <c r="D122" s="13">
        <f>SUM(D117:D121)</f>
        <v>26344.559820579489</v>
      </c>
      <c r="E122" s="13">
        <f>SUM(E117:E121)</f>
        <v>32698.879820579488</v>
      </c>
      <c r="F122" s="13">
        <f>SUM(F117:F121)</f>
        <v>39053.199820579488</v>
      </c>
      <c r="G122" s="13">
        <f>SUM(G117:G121)</f>
        <v>45407.519820579488</v>
      </c>
    </row>
    <row r="123" spans="1:9" x14ac:dyDescent="0.2">
      <c r="A123" s="148" t="s">
        <v>121</v>
      </c>
      <c r="B123" s="148" t="s">
        <v>202</v>
      </c>
      <c r="C123" s="13">
        <f>$E$71</f>
        <v>5454.545454545455</v>
      </c>
      <c r="D123" s="13">
        <f>$E$71</f>
        <v>5454.545454545455</v>
      </c>
      <c r="E123" s="13">
        <f>$E$71</f>
        <v>5454.545454545455</v>
      </c>
      <c r="F123" s="13">
        <f>$E$71</f>
        <v>5454.545454545455</v>
      </c>
      <c r="G123" s="13">
        <f>$E$71</f>
        <v>5454.545454545455</v>
      </c>
      <c r="I123" s="1"/>
    </row>
    <row r="124" spans="1:9" x14ac:dyDescent="0.2">
      <c r="A124" s="148" t="s">
        <v>261</v>
      </c>
      <c r="B124" s="148" t="s">
        <v>202</v>
      </c>
      <c r="C124" s="13">
        <f>C116+C122+C123</f>
        <v>49715.087002790373</v>
      </c>
      <c r="D124" s="13">
        <f>D116+D122+D123</f>
        <v>56069.40700279038</v>
      </c>
      <c r="E124" s="13">
        <f>E116+E122+E123</f>
        <v>62423.727002790372</v>
      </c>
      <c r="F124" s="13">
        <f>F116+F122+F123</f>
        <v>68778.047002790379</v>
      </c>
      <c r="G124" s="13">
        <f>G116+G122+G123</f>
        <v>75132.367002790372</v>
      </c>
    </row>
    <row r="125" spans="1:9" x14ac:dyDescent="0.2">
      <c r="A125" s="24" t="s">
        <v>116</v>
      </c>
      <c r="B125" s="24" t="s">
        <v>133</v>
      </c>
      <c r="C125" s="31">
        <f>(C124-$E$10)/C115/1000</f>
        <v>20.506286251162656</v>
      </c>
      <c r="D125" s="31">
        <f>(D124-$E$10)/D115/1000</f>
        <v>15.435946389663995</v>
      </c>
      <c r="E125" s="31">
        <f>(E124-$E$10)/E115/1000</f>
        <v>12.900776458914661</v>
      </c>
      <c r="F125" s="31">
        <f>(F124-$E$10)/F115/1000</f>
        <v>11.379674500465065</v>
      </c>
      <c r="G125" s="31">
        <f>(G124-$E$10)/G115/1000</f>
        <v>10.36560652816533</v>
      </c>
    </row>
    <row r="128" spans="1:9" x14ac:dyDescent="0.2">
      <c r="A128" s="120" t="s">
        <v>262</v>
      </c>
      <c r="B128" s="121"/>
      <c r="C128" s="121"/>
      <c r="D128" s="121"/>
      <c r="E128" s="121"/>
      <c r="F128" s="122"/>
    </row>
    <row r="129" spans="1:8" ht="25.5" x14ac:dyDescent="0.2">
      <c r="A129" s="123"/>
      <c r="C129" s="124" t="s">
        <v>263</v>
      </c>
      <c r="D129" s="124" t="s">
        <v>223</v>
      </c>
      <c r="E129" s="124" t="s">
        <v>115</v>
      </c>
      <c r="F129" s="125" t="s">
        <v>264</v>
      </c>
    </row>
    <row r="130" spans="1:8" x14ac:dyDescent="0.2">
      <c r="A130" s="126" t="s">
        <v>274</v>
      </c>
      <c r="F130" s="127"/>
    </row>
    <row r="131" spans="1:8" x14ac:dyDescent="0.2">
      <c r="A131" s="123" t="str">
        <f>Grunduppgifter!A36</f>
        <v xml:space="preserve">Biofer 10-3-1 </v>
      </c>
      <c r="B131" s="168" t="s">
        <v>14</v>
      </c>
      <c r="C131" s="169">
        <f>Grunduppgifter!G88</f>
        <v>100</v>
      </c>
      <c r="D131" s="169"/>
      <c r="E131" s="4">
        <f>Grunduppgifter!B36</f>
        <v>3.91</v>
      </c>
      <c r="F131" s="151">
        <f>C131*E131*(1+Grunduppgifter!$B$49)</f>
        <v>469.2</v>
      </c>
    </row>
    <row r="132" spans="1:8" s="169" customFormat="1" x14ac:dyDescent="0.2">
      <c r="A132" s="123" t="str">
        <f>Grunduppgifter!A37</f>
        <v>Biofer 9-3-4</v>
      </c>
      <c r="B132" s="168" t="s">
        <v>14</v>
      </c>
      <c r="C132" s="169">
        <f>Grunduppgifter!G89</f>
        <v>0</v>
      </c>
      <c r="E132" s="4">
        <f>Grunduppgifter!B37</f>
        <v>4.16</v>
      </c>
      <c r="F132" s="151">
        <f>C132*E132*(1+Grunduppgifter!$B$49)</f>
        <v>0</v>
      </c>
    </row>
    <row r="133" spans="1:8" s="169" customFormat="1" x14ac:dyDescent="0.2">
      <c r="A133" s="123" t="str">
        <f>Grunduppgifter!A38</f>
        <v xml:space="preserve">Biofer 6-3-12 </v>
      </c>
      <c r="B133" s="168" t="s">
        <v>14</v>
      </c>
      <c r="C133" s="24">
        <f>Grunduppgifter!G90</f>
        <v>0</v>
      </c>
      <c r="E133" s="31">
        <f>Grunduppgifter!B38</f>
        <v>5.1100000000000003</v>
      </c>
      <c r="F133" s="131">
        <f>C133*E133*(1+Grunduppgifter!$B$49)</f>
        <v>0</v>
      </c>
    </row>
    <row r="134" spans="1:8" x14ac:dyDescent="0.2">
      <c r="A134" s="130" t="s">
        <v>279</v>
      </c>
      <c r="B134" s="169"/>
      <c r="C134" s="169">
        <f>SUM(C131:C133)</f>
        <v>100</v>
      </c>
      <c r="D134" s="169"/>
      <c r="E134" s="4">
        <f>F134/C134</f>
        <v>4.6920000000000002</v>
      </c>
      <c r="F134" s="128">
        <f>SUM(F131:F133)</f>
        <v>469.2</v>
      </c>
    </row>
    <row r="135" spans="1:8" x14ac:dyDescent="0.2">
      <c r="A135" s="123"/>
      <c r="B135" s="169"/>
      <c r="C135" s="169"/>
      <c r="D135" s="169"/>
      <c r="E135" s="4"/>
      <c r="F135" s="128"/>
    </row>
    <row r="136" spans="1:8" x14ac:dyDescent="0.2">
      <c r="A136" s="126" t="s">
        <v>178</v>
      </c>
      <c r="B136" s="169"/>
      <c r="C136" s="169"/>
      <c r="D136" s="169"/>
      <c r="E136" s="4"/>
      <c r="F136" s="128"/>
    </row>
    <row r="137" spans="1:8" x14ac:dyDescent="0.2">
      <c r="A137" s="123" t="str">
        <f>Grunduppgifter!A39</f>
        <v>Kalimagnesia 25-6</v>
      </c>
      <c r="B137" s="168" t="s">
        <v>14</v>
      </c>
      <c r="C137" s="24">
        <f>Grunduppgifter!G85</f>
        <v>30</v>
      </c>
      <c r="D137" s="169"/>
      <c r="E137" s="31">
        <f>Grunduppgifter!B39</f>
        <v>4.5599999999999996</v>
      </c>
      <c r="F137" s="129">
        <f>C137*E137*(1+Grunduppgifter!B49)</f>
        <v>164.15999999999997</v>
      </c>
    </row>
    <row r="138" spans="1:8" x14ac:dyDescent="0.2">
      <c r="A138" s="130" t="s">
        <v>280</v>
      </c>
      <c r="B138" s="169"/>
      <c r="C138" s="169">
        <f>SUM(C137)</f>
        <v>30</v>
      </c>
      <c r="D138" s="169"/>
      <c r="E138" s="4">
        <f>IF(C138=0,0,F138/C138)</f>
        <v>5.4719999999999986</v>
      </c>
      <c r="F138" s="128">
        <f>SUM(F137:F137)</f>
        <v>164.15999999999997</v>
      </c>
    </row>
    <row r="139" spans="1:8" x14ac:dyDescent="0.2">
      <c r="A139" s="123"/>
      <c r="F139" s="127"/>
    </row>
    <row r="140" spans="1:8" x14ac:dyDescent="0.2">
      <c r="A140" s="123"/>
      <c r="F140" s="127"/>
    </row>
    <row r="141" spans="1:8" x14ac:dyDescent="0.2">
      <c r="A141" s="126" t="s">
        <v>275</v>
      </c>
      <c r="F141" s="127"/>
    </row>
    <row r="142" spans="1:8" x14ac:dyDescent="0.2">
      <c r="A142" s="130" t="str">
        <f>Grunduppgifter!A40</f>
        <v>Conserve</v>
      </c>
      <c r="B142" s="146" t="s">
        <v>59</v>
      </c>
      <c r="D142" s="148">
        <v>1</v>
      </c>
      <c r="E142" s="13">
        <f>Grunduppgifter!B40</f>
        <v>2451</v>
      </c>
      <c r="F142" s="151">
        <f>C142*E142*(1+Grunduppgifter!$B$50)</f>
        <v>0</v>
      </c>
      <c r="H142" s="148" t="s">
        <v>390</v>
      </c>
    </row>
    <row r="143" spans="1:8" s="165" customFormat="1" x14ac:dyDescent="0.2">
      <c r="A143" s="130" t="str">
        <f>Grunduppgifter!A45</f>
        <v xml:space="preserve">NeemAzal-T/S </v>
      </c>
      <c r="B143" s="164" t="s">
        <v>59</v>
      </c>
      <c r="C143" s="165">
        <v>0.3</v>
      </c>
      <c r="D143" s="165">
        <v>1</v>
      </c>
      <c r="E143" s="13">
        <f>Grunduppgifter!B45</f>
        <v>990</v>
      </c>
      <c r="F143" s="151">
        <f>C143*E143*(1+Grunduppgifter!$B$50)</f>
        <v>371.25</v>
      </c>
    </row>
    <row r="144" spans="1:8" x14ac:dyDescent="0.2">
      <c r="A144" s="130" t="str">
        <f>Grunduppgifter!A44</f>
        <v>Turex 50 WP</v>
      </c>
      <c r="B144" s="146" t="s">
        <v>14</v>
      </c>
      <c r="C144" s="148">
        <v>0.1</v>
      </c>
      <c r="D144" s="148">
        <v>2</v>
      </c>
      <c r="E144" s="148">
        <f>Grunduppgifter!B44</f>
        <v>854</v>
      </c>
      <c r="F144" s="131">
        <f>C144*E144*(1+Grunduppgifter!$B$50)</f>
        <v>106.75</v>
      </c>
    </row>
    <row r="145" spans="1:6" x14ac:dyDescent="0.2">
      <c r="A145" s="132" t="s">
        <v>281</v>
      </c>
      <c r="B145" s="24"/>
      <c r="C145" s="24"/>
      <c r="D145" s="24"/>
      <c r="E145" s="24"/>
      <c r="F145" s="131">
        <f>SUM(F142:F144)</f>
        <v>478</v>
      </c>
    </row>
    <row r="147" spans="1:6" x14ac:dyDescent="0.2">
      <c r="A147" s="174" t="s">
        <v>360</v>
      </c>
      <c r="B147" s="175" t="s">
        <v>354</v>
      </c>
      <c r="C147" s="175" t="s">
        <v>355</v>
      </c>
      <c r="D147" s="176" t="s">
        <v>356</v>
      </c>
    </row>
    <row r="148" spans="1:6" x14ac:dyDescent="0.2">
      <c r="A148" s="130" t="s">
        <v>361</v>
      </c>
      <c r="B148" s="169">
        <v>2.4</v>
      </c>
      <c r="C148" s="169">
        <v>0.3</v>
      </c>
      <c r="D148" s="127">
        <v>2.6</v>
      </c>
    </row>
    <row r="149" spans="1:6" x14ac:dyDescent="0.2">
      <c r="A149" s="173" t="s">
        <v>362</v>
      </c>
      <c r="B149" s="169">
        <f>$C$4*B148/1000</f>
        <v>14.4</v>
      </c>
      <c r="C149" s="169">
        <f t="shared" ref="C149:D149" si="7">$C$4*C148/1000</f>
        <v>1.8</v>
      </c>
      <c r="D149" s="127">
        <f t="shared" si="7"/>
        <v>15.6</v>
      </c>
    </row>
    <row r="150" spans="1:6" x14ac:dyDescent="0.2">
      <c r="A150" s="173" t="s">
        <v>363</v>
      </c>
      <c r="B150" s="169"/>
      <c r="C150" s="169"/>
      <c r="D150" s="127"/>
    </row>
    <row r="151" spans="1:6" x14ac:dyDescent="0.2">
      <c r="A151" s="123" t="str">
        <f>A18</f>
        <v>Stallgödsel</v>
      </c>
      <c r="B151" s="169">
        <f>C18*Grunduppgifter!B74</f>
        <v>2</v>
      </c>
      <c r="C151" s="169">
        <f>C18*Grunduppgifter!B75</f>
        <v>3</v>
      </c>
      <c r="D151" s="127">
        <f>C18*Grunduppgifter!B76</f>
        <v>10</v>
      </c>
    </row>
    <row r="152" spans="1:6" x14ac:dyDescent="0.2">
      <c r="A152" s="123" t="str">
        <f>Grunduppgifter!A36</f>
        <v xml:space="preserve">Biofer 10-3-1 </v>
      </c>
      <c r="B152" s="169">
        <f>Grunduppgifter!I74*C131</f>
        <v>10.100000000000001</v>
      </c>
      <c r="C152" s="169">
        <f>Grunduppgifter!I75*C131</f>
        <v>3</v>
      </c>
      <c r="D152" s="127">
        <f>Grunduppgifter!I76*C131</f>
        <v>0.89999999999999991</v>
      </c>
    </row>
    <row r="153" spans="1:6" x14ac:dyDescent="0.2">
      <c r="A153" s="123" t="str">
        <f>Grunduppgifter!A37</f>
        <v>Biofer 9-3-4</v>
      </c>
      <c r="B153" s="169">
        <f>Grunduppgifter!J75*C132</f>
        <v>0</v>
      </c>
      <c r="C153" s="169">
        <f>Grunduppgifter!J76*C132</f>
        <v>0</v>
      </c>
      <c r="D153" s="127">
        <f>Grunduppgifter!J77*C132</f>
        <v>0</v>
      </c>
    </row>
    <row r="154" spans="1:6" x14ac:dyDescent="0.2">
      <c r="A154" s="123" t="str">
        <f>Grunduppgifter!A38</f>
        <v xml:space="preserve">Biofer 6-3-12 </v>
      </c>
      <c r="B154" s="169">
        <f>Grunduppgifter!K74*C133</f>
        <v>0</v>
      </c>
      <c r="C154" s="169">
        <f>Grunduppgifter!K75*C133</f>
        <v>0</v>
      </c>
      <c r="D154" s="127">
        <f>Grunduppgifter!K76*C133</f>
        <v>0</v>
      </c>
    </row>
    <row r="155" spans="1:6" x14ac:dyDescent="0.2">
      <c r="A155" s="123" t="str">
        <f>A138</f>
        <v>S:a Oorganiska specialgödselmedel</v>
      </c>
      <c r="B155" s="169"/>
      <c r="C155" s="169"/>
      <c r="D155" s="127">
        <f>Grunduppgifter!F76*C138</f>
        <v>7.5</v>
      </c>
    </row>
    <row r="156" spans="1:6" x14ac:dyDescent="0.2">
      <c r="A156" s="123" t="s">
        <v>365</v>
      </c>
      <c r="B156" s="169">
        <f>'Gröngödsling 1'!C6*Grunduppgifter!G91</f>
        <v>4</v>
      </c>
      <c r="C156" s="169"/>
      <c r="D156" s="127"/>
    </row>
    <row r="157" spans="1:6" x14ac:dyDescent="0.2">
      <c r="A157" s="123" t="s">
        <v>366</v>
      </c>
      <c r="B157" s="169">
        <f>SUM(B151:B156)</f>
        <v>16.100000000000001</v>
      </c>
      <c r="C157" s="169">
        <f t="shared" ref="C157:D157" si="8">SUM(C151:C156)</f>
        <v>6</v>
      </c>
      <c r="D157" s="127">
        <f t="shared" si="8"/>
        <v>18.399999999999999</v>
      </c>
    </row>
    <row r="158" spans="1:6" x14ac:dyDescent="0.2">
      <c r="A158" s="177" t="s">
        <v>367</v>
      </c>
      <c r="B158" s="24">
        <f>B157-B149</f>
        <v>1.7000000000000011</v>
      </c>
      <c r="C158" s="24">
        <f t="shared" ref="C158:D158" si="9">C157-C149</f>
        <v>4.2</v>
      </c>
      <c r="D158" s="178">
        <f t="shared" si="9"/>
        <v>2.7999999999999989</v>
      </c>
    </row>
  </sheetData>
  <mergeCells count="2">
    <mergeCell ref="K3:S3"/>
    <mergeCell ref="K6:S6"/>
  </mergeCell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8E469-79A3-4D33-BC8B-85DBF77D5EA0}">
  <dimension ref="A1:U157"/>
  <sheetViews>
    <sheetView workbookViewId="0">
      <selection activeCell="D62" sqref="D62"/>
    </sheetView>
  </sheetViews>
  <sheetFormatPr defaultRowHeight="12.75" x14ac:dyDescent="0.2"/>
  <cols>
    <col min="1" max="1" width="35.42578125" style="148" customWidth="1"/>
    <col min="2" max="2" width="9.140625" style="148"/>
    <col min="3" max="4" width="12" style="148" bestFit="1" customWidth="1"/>
    <col min="5" max="5" width="11" style="148" bestFit="1" customWidth="1"/>
    <col min="6" max="6" width="12" style="148" bestFit="1" customWidth="1"/>
    <col min="7" max="7" width="11" style="148" bestFit="1" customWidth="1"/>
    <col min="8" max="8" width="9.140625" style="148"/>
    <col min="9" max="9" width="12" style="148" bestFit="1" customWidth="1"/>
    <col min="10" max="16384" width="9.140625" style="148"/>
  </cols>
  <sheetData>
    <row r="1" spans="1:21" ht="15.75" x14ac:dyDescent="0.25">
      <c r="A1" s="20" t="s">
        <v>219</v>
      </c>
      <c r="B1" s="20" t="s">
        <v>80</v>
      </c>
      <c r="C1" s="20"/>
      <c r="D1" s="20" t="s">
        <v>114</v>
      </c>
      <c r="E1" s="21"/>
      <c r="F1" s="20"/>
      <c r="G1" s="20"/>
      <c r="H1" s="21"/>
      <c r="I1" s="21"/>
      <c r="J1" s="21"/>
      <c r="K1" s="20" t="s">
        <v>306</v>
      </c>
      <c r="L1" s="21"/>
      <c r="M1" s="21"/>
      <c r="N1" s="21"/>
      <c r="O1" s="21"/>
      <c r="P1" s="21"/>
      <c r="Q1" s="21"/>
      <c r="R1" s="21"/>
      <c r="S1" s="21"/>
      <c r="T1" s="21"/>
      <c r="U1" s="21"/>
    </row>
    <row r="3" spans="1:21" x14ac:dyDescent="0.2">
      <c r="A3" s="62" t="s">
        <v>104</v>
      </c>
      <c r="C3" s="13">
        <v>1000</v>
      </c>
      <c r="D3" s="146" t="s">
        <v>283</v>
      </c>
      <c r="K3" s="222"/>
      <c r="L3" s="222"/>
      <c r="M3" s="222"/>
      <c r="N3" s="222"/>
      <c r="O3" s="222"/>
      <c r="P3" s="222"/>
      <c r="Q3" s="222"/>
      <c r="R3" s="222"/>
      <c r="S3" s="222"/>
    </row>
    <row r="4" spans="1:21" x14ac:dyDescent="0.2">
      <c r="A4" s="62" t="s">
        <v>4</v>
      </c>
      <c r="C4" s="13">
        <f>Grunduppgifter!C12</f>
        <v>1000</v>
      </c>
      <c r="D4" s="146" t="s">
        <v>271</v>
      </c>
    </row>
    <row r="5" spans="1:21" x14ac:dyDescent="0.2">
      <c r="A5" s="62" t="s">
        <v>96</v>
      </c>
      <c r="C5" s="2">
        <f>Grunduppgifter!D12</f>
        <v>0.95</v>
      </c>
    </row>
    <row r="6" spans="1:21" x14ac:dyDescent="0.2">
      <c r="B6" s="146"/>
      <c r="C6" s="3"/>
      <c r="K6" s="223"/>
      <c r="L6" s="224"/>
      <c r="M6" s="224"/>
      <c r="N6" s="224"/>
      <c r="O6" s="224"/>
      <c r="P6" s="224"/>
      <c r="Q6" s="224"/>
      <c r="R6" s="224"/>
      <c r="S6" s="224"/>
    </row>
    <row r="7" spans="1:21" x14ac:dyDescent="0.2">
      <c r="A7" s="24"/>
      <c r="B7" s="30" t="s">
        <v>122</v>
      </c>
      <c r="C7" s="49" t="s">
        <v>6</v>
      </c>
      <c r="D7" s="49" t="s">
        <v>115</v>
      </c>
      <c r="E7" s="49" t="s">
        <v>7</v>
      </c>
      <c r="F7" s="24"/>
      <c r="G7" s="24"/>
      <c r="H7" s="30" t="s">
        <v>124</v>
      </c>
      <c r="I7" s="147"/>
      <c r="J7" s="3"/>
    </row>
    <row r="8" spans="1:21" x14ac:dyDescent="0.2">
      <c r="A8" s="147" t="s">
        <v>5</v>
      </c>
      <c r="B8" s="3"/>
      <c r="C8" s="10"/>
      <c r="D8" s="10"/>
      <c r="E8" s="10"/>
      <c r="H8" s="3"/>
      <c r="I8" s="3"/>
      <c r="J8" s="3"/>
    </row>
    <row r="9" spans="1:21" x14ac:dyDescent="0.2">
      <c r="A9" s="148" t="s">
        <v>81</v>
      </c>
      <c r="B9" s="148" t="s">
        <v>14</v>
      </c>
      <c r="C9" s="39">
        <f>C4*C5</f>
        <v>950</v>
      </c>
      <c r="D9" s="106">
        <f>(E66+E71-E10)/C9</f>
        <v>72.924942208134667</v>
      </c>
      <c r="E9" s="13">
        <f>C9*D9</f>
        <v>69278.695097727934</v>
      </c>
      <c r="H9" s="192" t="s">
        <v>116</v>
      </c>
      <c r="J9" s="12"/>
    </row>
    <row r="10" spans="1:21" x14ac:dyDescent="0.2">
      <c r="A10" s="24" t="s">
        <v>61</v>
      </c>
      <c r="B10" s="24"/>
      <c r="C10" s="24">
        <v>0.1</v>
      </c>
      <c r="D10" s="35">
        <f>Grunduppgifter!B61</f>
        <v>5000</v>
      </c>
      <c r="E10" s="26">
        <f>C10*D10</f>
        <v>500</v>
      </c>
      <c r="F10" s="24"/>
      <c r="G10" s="24"/>
      <c r="H10" s="24"/>
      <c r="J10" s="12"/>
    </row>
    <row r="11" spans="1:21" x14ac:dyDescent="0.2">
      <c r="A11" s="147" t="s">
        <v>118</v>
      </c>
      <c r="B11" s="147"/>
      <c r="C11" s="147"/>
      <c r="D11" s="44"/>
      <c r="E11" s="39">
        <f>SUM(E9:E10)</f>
        <v>69778.695097727934</v>
      </c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T11" s="147"/>
      <c r="U11" s="147"/>
    </row>
    <row r="12" spans="1:21" x14ac:dyDescent="0.2">
      <c r="D12" s="4"/>
      <c r="E12" s="9"/>
    </row>
    <row r="13" spans="1:21" x14ac:dyDescent="0.2">
      <c r="A13" s="147" t="s">
        <v>220</v>
      </c>
      <c r="D13" s="4"/>
      <c r="E13" s="9"/>
    </row>
    <row r="14" spans="1:21" x14ac:dyDescent="0.2">
      <c r="A14" s="146" t="s">
        <v>221</v>
      </c>
      <c r="B14" s="148" t="s">
        <v>11</v>
      </c>
      <c r="C14" s="148">
        <f>D89</f>
        <v>20</v>
      </c>
      <c r="D14" s="9">
        <f>Grunduppgifter!B25</f>
        <v>283</v>
      </c>
      <c r="E14" s="13">
        <f t="shared" ref="E14:E33" si="0">C14*D14</f>
        <v>5660</v>
      </c>
      <c r="H14" s="148" t="s">
        <v>272</v>
      </c>
      <c r="O14" s="4"/>
      <c r="P14" s="4"/>
    </row>
    <row r="15" spans="1:21" x14ac:dyDescent="0.2">
      <c r="A15" s="146" t="s">
        <v>222</v>
      </c>
      <c r="B15" s="148" t="s">
        <v>11</v>
      </c>
      <c r="C15" s="148">
        <f>C89</f>
        <v>25</v>
      </c>
      <c r="D15" s="9">
        <f>Grunduppgifter!B26</f>
        <v>186</v>
      </c>
      <c r="E15" s="13">
        <f t="shared" si="0"/>
        <v>4650</v>
      </c>
      <c r="H15" s="148" t="s">
        <v>272</v>
      </c>
    </row>
    <row r="16" spans="1:21" x14ac:dyDescent="0.2">
      <c r="A16" s="148" t="s">
        <v>65</v>
      </c>
      <c r="B16" s="148" t="s">
        <v>14</v>
      </c>
      <c r="C16" s="107">
        <v>6</v>
      </c>
      <c r="D16" s="13">
        <v>466</v>
      </c>
      <c r="E16" s="13">
        <f t="shared" si="0"/>
        <v>2796</v>
      </c>
      <c r="J16" s="4"/>
      <c r="M16" s="13"/>
      <c r="N16" s="13"/>
      <c r="O16" s="13"/>
      <c r="P16" s="13"/>
      <c r="Q16" s="13"/>
    </row>
    <row r="17" spans="1:17" x14ac:dyDescent="0.2">
      <c r="A17" s="150" t="str">
        <f>Grunduppgifter!A33</f>
        <v>Fiberduk</v>
      </c>
      <c r="B17" s="148" t="s">
        <v>283</v>
      </c>
      <c r="C17" s="96">
        <v>600</v>
      </c>
      <c r="D17" s="4">
        <f>Grunduppgifter!B33</f>
        <v>1.2</v>
      </c>
      <c r="E17" s="13">
        <f t="shared" si="0"/>
        <v>720</v>
      </c>
      <c r="M17" s="13"/>
      <c r="N17" s="13"/>
      <c r="O17" s="13"/>
      <c r="P17" s="13"/>
      <c r="Q17" s="13"/>
    </row>
    <row r="18" spans="1:17" x14ac:dyDescent="0.2">
      <c r="A18" s="150" t="str">
        <f>Grunduppgifter!A35</f>
        <v>Stallgödsel</v>
      </c>
      <c r="B18" s="148" t="s">
        <v>14</v>
      </c>
      <c r="C18" s="13">
        <f>Grunduppgifter!H81</f>
        <v>2000</v>
      </c>
      <c r="D18" s="4">
        <f>Grunduppgifter!B35</f>
        <v>0.2</v>
      </c>
      <c r="E18" s="13">
        <f t="shared" si="0"/>
        <v>400</v>
      </c>
    </row>
    <row r="19" spans="1:17" x14ac:dyDescent="0.2">
      <c r="A19" s="148" t="s">
        <v>67</v>
      </c>
      <c r="C19" s="148">
        <v>1</v>
      </c>
      <c r="D19" s="13">
        <f>Grunduppgifter!B63</f>
        <v>1025.9546363636364</v>
      </c>
      <c r="E19" s="13">
        <f t="shared" si="0"/>
        <v>1025.9546363636364</v>
      </c>
      <c r="H19" s="148" t="s">
        <v>273</v>
      </c>
    </row>
    <row r="20" spans="1:17" x14ac:dyDescent="0.2">
      <c r="A20" s="148" t="s">
        <v>274</v>
      </c>
      <c r="C20" s="169">
        <f>C134</f>
        <v>0</v>
      </c>
      <c r="D20" s="4">
        <f>E134</f>
        <v>0</v>
      </c>
      <c r="E20" s="13">
        <f t="shared" si="0"/>
        <v>0</v>
      </c>
    </row>
    <row r="21" spans="1:17" x14ac:dyDescent="0.2">
      <c r="A21" s="146" t="s">
        <v>178</v>
      </c>
      <c r="C21" s="169">
        <f>C138</f>
        <v>0</v>
      </c>
      <c r="D21" s="4">
        <f>E138</f>
        <v>0</v>
      </c>
      <c r="E21" s="13">
        <f t="shared" si="0"/>
        <v>0</v>
      </c>
    </row>
    <row r="22" spans="1:17" x14ac:dyDescent="0.2">
      <c r="A22" s="146" t="s">
        <v>275</v>
      </c>
      <c r="C22" s="169">
        <v>1</v>
      </c>
      <c r="D22" s="4">
        <f>F141</f>
        <v>0</v>
      </c>
      <c r="E22" s="13">
        <f t="shared" si="0"/>
        <v>0</v>
      </c>
    </row>
    <row r="23" spans="1:17" x14ac:dyDescent="0.2">
      <c r="A23" s="148" t="s">
        <v>119</v>
      </c>
      <c r="B23" s="148" t="s">
        <v>11</v>
      </c>
      <c r="C23" s="148">
        <f>SUM(F79:F88)</f>
        <v>4</v>
      </c>
      <c r="D23" s="4">
        <f>Grunduppgifter!B30</f>
        <v>100</v>
      </c>
      <c r="E23" s="13">
        <f t="shared" si="0"/>
        <v>400</v>
      </c>
    </row>
    <row r="24" spans="1:17" x14ac:dyDescent="0.2">
      <c r="A24" s="148" t="s">
        <v>15</v>
      </c>
      <c r="B24" s="148" t="s">
        <v>16</v>
      </c>
      <c r="C24" s="107">
        <v>60</v>
      </c>
      <c r="D24" s="4">
        <f>Grunduppgifter!B31</f>
        <v>0.96</v>
      </c>
      <c r="E24" s="13">
        <f t="shared" si="0"/>
        <v>57.599999999999994</v>
      </c>
    </row>
    <row r="25" spans="1:17" x14ac:dyDescent="0.2">
      <c r="A25" s="148" t="s">
        <v>100</v>
      </c>
      <c r="B25" s="148" t="s">
        <v>14</v>
      </c>
      <c r="C25" s="107">
        <v>0</v>
      </c>
      <c r="D25" s="4">
        <f>Grunduppgifter!B32</f>
        <v>25</v>
      </c>
      <c r="E25" s="13">
        <f t="shared" si="0"/>
        <v>0</v>
      </c>
    </row>
    <row r="26" spans="1:17" x14ac:dyDescent="0.2">
      <c r="A26" s="149" t="str">
        <f>Grunduppgifter!A46</f>
        <v>Analyser</v>
      </c>
      <c r="B26" s="148" t="s">
        <v>12</v>
      </c>
      <c r="C26" s="107">
        <v>0.1</v>
      </c>
      <c r="D26" s="4">
        <f>Grunduppgifter!B46</f>
        <v>400</v>
      </c>
      <c r="E26" s="13">
        <f t="shared" si="0"/>
        <v>40</v>
      </c>
    </row>
    <row r="27" spans="1:17" x14ac:dyDescent="0.2">
      <c r="A27" s="29" t="str">
        <f>Grunduppgifter!A69</f>
        <v>Ränta rörelsekapital</v>
      </c>
      <c r="B27" s="24" t="s">
        <v>20</v>
      </c>
      <c r="C27" s="26">
        <f>SUM(E14:E26)</f>
        <v>15749.554636363637</v>
      </c>
      <c r="D27" s="108">
        <f>Grunduppgifter!B69</f>
        <v>0.02</v>
      </c>
      <c r="E27" s="26">
        <f t="shared" si="0"/>
        <v>314.99109272727276</v>
      </c>
      <c r="F27" s="24"/>
      <c r="G27" s="24"/>
      <c r="H27" s="24"/>
    </row>
    <row r="28" spans="1:17" x14ac:dyDescent="0.2">
      <c r="A28" s="147" t="s">
        <v>224</v>
      </c>
      <c r="D28" s="4"/>
      <c r="E28" s="39">
        <f>SUM(E14:E27)</f>
        <v>16064.545729090909</v>
      </c>
    </row>
    <row r="29" spans="1:17" x14ac:dyDescent="0.2">
      <c r="A29" s="147"/>
      <c r="D29" s="4"/>
      <c r="E29" s="39"/>
    </row>
    <row r="30" spans="1:17" x14ac:dyDescent="0.2">
      <c r="A30" s="146" t="s">
        <v>276</v>
      </c>
      <c r="C30" s="148">
        <v>0.1</v>
      </c>
      <c r="D30" s="13">
        <f>'Maskiner 1'!F32</f>
        <v>24747.136173216168</v>
      </c>
      <c r="E30" s="13">
        <f t="shared" si="0"/>
        <v>2474.7136173216168</v>
      </c>
    </row>
    <row r="31" spans="1:17" x14ac:dyDescent="0.2">
      <c r="A31" s="146" t="s">
        <v>225</v>
      </c>
      <c r="C31" s="148">
        <v>0.1</v>
      </c>
      <c r="D31" s="13">
        <f>'Maskiner 1'!K30/2</f>
        <v>7115.6718125290399</v>
      </c>
      <c r="E31" s="13">
        <f t="shared" si="0"/>
        <v>711.56718125290399</v>
      </c>
    </row>
    <row r="32" spans="1:17" x14ac:dyDescent="0.2">
      <c r="A32" s="148" t="s">
        <v>25</v>
      </c>
      <c r="C32" s="148">
        <v>0.1</v>
      </c>
      <c r="D32" s="13">
        <f>Grunduppgifter!B60</f>
        <v>6000</v>
      </c>
      <c r="E32" s="13">
        <f t="shared" si="0"/>
        <v>600</v>
      </c>
    </row>
    <row r="33" spans="1:21" x14ac:dyDescent="0.2">
      <c r="A33" s="29" t="s">
        <v>400</v>
      </c>
      <c r="B33" s="24"/>
      <c r="C33" s="31">
        <f>0.1/Grunduppgifter!B20</f>
        <v>3.3333333333333333E-2</v>
      </c>
      <c r="D33" s="26">
        <f>Grunduppgifter!B64</f>
        <v>4500</v>
      </c>
      <c r="E33" s="26">
        <f t="shared" si="0"/>
        <v>150</v>
      </c>
      <c r="F33" s="24"/>
      <c r="G33" s="24"/>
      <c r="H33" s="24"/>
    </row>
    <row r="34" spans="1:21" x14ac:dyDescent="0.2">
      <c r="A34" s="147" t="s">
        <v>226</v>
      </c>
      <c r="D34" s="4"/>
      <c r="E34" s="13">
        <f>SUM(E30:E33)</f>
        <v>3936.2807985745208</v>
      </c>
    </row>
    <row r="35" spans="1:21" x14ac:dyDescent="0.2">
      <c r="A35" s="147" t="s">
        <v>227</v>
      </c>
      <c r="D35" s="4"/>
      <c r="E35" s="39">
        <f>SUM(E28:E33)</f>
        <v>20000.826527665427</v>
      </c>
    </row>
    <row r="36" spans="1:21" x14ac:dyDescent="0.2">
      <c r="A36" s="147"/>
      <c r="D36" s="4"/>
      <c r="E36" s="13"/>
    </row>
    <row r="37" spans="1:21" x14ac:dyDescent="0.2">
      <c r="A37" s="147" t="s">
        <v>36</v>
      </c>
      <c r="D37" s="4"/>
      <c r="E37" s="13"/>
    </row>
    <row r="38" spans="1:21" x14ac:dyDescent="0.2">
      <c r="A38" s="146" t="s">
        <v>221</v>
      </c>
      <c r="B38" s="148" t="s">
        <v>11</v>
      </c>
      <c r="C38" s="9">
        <f>D91</f>
        <v>12.5</v>
      </c>
      <c r="D38" s="9">
        <f>Grunduppgifter!B25</f>
        <v>283</v>
      </c>
      <c r="E38" s="13">
        <f>C38*D38</f>
        <v>3537.5</v>
      </c>
      <c r="H38" s="148" t="s">
        <v>272</v>
      </c>
    </row>
    <row r="39" spans="1:21" x14ac:dyDescent="0.2">
      <c r="A39" s="146" t="s">
        <v>222</v>
      </c>
      <c r="B39" s="148" t="s">
        <v>11</v>
      </c>
      <c r="C39" s="9">
        <f>C91</f>
        <v>112.5</v>
      </c>
      <c r="D39" s="9">
        <f>Grunduppgifter!B26</f>
        <v>186</v>
      </c>
      <c r="E39" s="13">
        <f>C39*D39</f>
        <v>20925</v>
      </c>
    </row>
    <row r="40" spans="1:21" x14ac:dyDescent="0.2">
      <c r="A40" s="148" t="s">
        <v>228</v>
      </c>
      <c r="C40" s="148">
        <v>0.1</v>
      </c>
      <c r="D40" s="13"/>
      <c r="E40" s="13">
        <f>C40*D40</f>
        <v>0</v>
      </c>
    </row>
    <row r="41" spans="1:21" x14ac:dyDescent="0.2">
      <c r="A41" s="29" t="s">
        <v>229</v>
      </c>
      <c r="B41" s="24" t="s">
        <v>11</v>
      </c>
      <c r="C41" s="26">
        <f>SUM(F91:F93)</f>
        <v>4.7619047619047619</v>
      </c>
      <c r="D41" s="26">
        <f>Grunduppgifter!B30</f>
        <v>100</v>
      </c>
      <c r="E41" s="26">
        <f>C41*D41</f>
        <v>476.1904761904762</v>
      </c>
      <c r="F41" s="24"/>
      <c r="G41" s="24"/>
      <c r="H41" s="24"/>
    </row>
    <row r="42" spans="1:21" x14ac:dyDescent="0.2">
      <c r="A42" s="147" t="s">
        <v>230</v>
      </c>
      <c r="B42" s="147"/>
      <c r="C42" s="147"/>
      <c r="D42" s="147"/>
      <c r="E42" s="39">
        <f>SUM(E38:E41)</f>
        <v>24938.690476190477</v>
      </c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T42" s="147"/>
      <c r="U42" s="147"/>
    </row>
    <row r="43" spans="1:21" x14ac:dyDescent="0.2">
      <c r="A43" s="147"/>
      <c r="B43" s="147"/>
      <c r="C43" s="147"/>
      <c r="D43" s="147"/>
      <c r="E43" s="39"/>
      <c r="F43" s="147"/>
      <c r="G43" s="147"/>
      <c r="H43" s="147"/>
      <c r="I43" s="147"/>
      <c r="J43" s="147"/>
      <c r="M43" s="4"/>
      <c r="N43" s="4"/>
      <c r="O43" s="4"/>
      <c r="P43" s="4"/>
      <c r="Q43" s="4"/>
      <c r="R43" s="147"/>
      <c r="T43" s="147"/>
      <c r="U43" s="147"/>
    </row>
    <row r="44" spans="1:21" x14ac:dyDescent="0.2">
      <c r="A44" s="147" t="s">
        <v>231</v>
      </c>
      <c r="B44" s="147"/>
      <c r="C44" s="147"/>
      <c r="D44" s="147"/>
      <c r="E44" s="39"/>
      <c r="F44" s="147"/>
      <c r="G44" s="147"/>
      <c r="H44" s="147"/>
      <c r="I44" s="147"/>
      <c r="J44" s="147"/>
      <c r="M44" s="4"/>
      <c r="N44" s="4"/>
      <c r="O44" s="4"/>
      <c r="P44" s="4"/>
      <c r="Q44" s="4"/>
      <c r="R44" s="147"/>
      <c r="T44" s="147"/>
      <c r="U44" s="147"/>
    </row>
    <row r="45" spans="1:21" x14ac:dyDescent="0.2">
      <c r="A45" s="146" t="s">
        <v>232</v>
      </c>
      <c r="B45" s="148" t="s">
        <v>11</v>
      </c>
      <c r="C45" s="148">
        <f>D92</f>
        <v>0</v>
      </c>
      <c r="D45" s="9">
        <f>Grunduppgifter!B25</f>
        <v>283</v>
      </c>
      <c r="E45" s="13">
        <f>C45*D45</f>
        <v>0</v>
      </c>
      <c r="I45" s="147"/>
      <c r="J45" s="147"/>
      <c r="M45" s="4"/>
      <c r="N45" s="4"/>
      <c r="O45" s="4"/>
      <c r="P45" s="4"/>
      <c r="Q45" s="4"/>
      <c r="R45" s="147"/>
      <c r="T45" s="147"/>
      <c r="U45" s="147"/>
    </row>
    <row r="46" spans="1:21" x14ac:dyDescent="0.2">
      <c r="A46" s="146" t="s">
        <v>58</v>
      </c>
      <c r="B46" s="148" t="s">
        <v>16</v>
      </c>
      <c r="C46" s="96">
        <v>0</v>
      </c>
      <c r="D46" s="4">
        <f>Grunduppgifter!B31</f>
        <v>0.96</v>
      </c>
      <c r="E46" s="13">
        <f>D46*C46</f>
        <v>0</v>
      </c>
      <c r="I46" s="147"/>
      <c r="J46" s="147"/>
      <c r="M46" s="4"/>
      <c r="N46" s="4"/>
      <c r="O46" s="4"/>
      <c r="P46" s="4"/>
      <c r="Q46" s="4"/>
      <c r="R46" s="147"/>
      <c r="T46" s="147"/>
      <c r="U46" s="147"/>
    </row>
    <row r="47" spans="1:21" x14ac:dyDescent="0.2">
      <c r="A47" s="148" t="s">
        <v>233</v>
      </c>
      <c r="C47" s="136">
        <v>0</v>
      </c>
      <c r="D47" s="13">
        <f>'Maskiner 1'!K30/2</f>
        <v>7115.6718125290399</v>
      </c>
      <c r="E47" s="13">
        <f>D47*C47</f>
        <v>0</v>
      </c>
      <c r="I47" s="147"/>
      <c r="J47" s="147"/>
      <c r="M47" s="4"/>
      <c r="N47" s="4"/>
      <c r="O47" s="4"/>
      <c r="P47" s="4"/>
      <c r="Q47" s="4"/>
      <c r="R47" s="147"/>
      <c r="T47" s="147"/>
      <c r="U47" s="147"/>
    </row>
    <row r="48" spans="1:21" x14ac:dyDescent="0.2">
      <c r="A48" s="24" t="str">
        <f>Grunduppgifter!A47</f>
        <v>Lagerlådor</v>
      </c>
      <c r="B48" s="27" t="s">
        <v>14</v>
      </c>
      <c r="C48" s="26">
        <v>0</v>
      </c>
      <c r="D48" s="31">
        <f>Grunduppgifter!B47</f>
        <v>0.12</v>
      </c>
      <c r="E48" s="26">
        <f>D48*C48</f>
        <v>0</v>
      </c>
      <c r="F48" s="24"/>
      <c r="G48" s="24"/>
      <c r="H48" s="24"/>
      <c r="I48" s="147"/>
      <c r="J48" s="147"/>
      <c r="M48" s="4"/>
      <c r="N48" s="4"/>
      <c r="O48" s="4"/>
      <c r="P48" s="4"/>
      <c r="Q48" s="4"/>
      <c r="R48" s="147"/>
      <c r="T48" s="147"/>
      <c r="U48" s="147"/>
    </row>
    <row r="49" spans="1:21" x14ac:dyDescent="0.2">
      <c r="A49" s="147" t="s">
        <v>234</v>
      </c>
      <c r="C49" s="13"/>
      <c r="D49" s="4"/>
      <c r="E49" s="39">
        <f>SUM(E45:E48)</f>
        <v>0</v>
      </c>
      <c r="I49" s="147"/>
      <c r="J49" s="147"/>
      <c r="M49" s="4"/>
      <c r="N49" s="4"/>
      <c r="O49" s="4"/>
      <c r="P49" s="4"/>
      <c r="Q49" s="4"/>
      <c r="R49" s="147"/>
      <c r="T49" s="147"/>
      <c r="U49" s="147"/>
    </row>
    <row r="50" spans="1:21" x14ac:dyDescent="0.2">
      <c r="A50" s="146"/>
      <c r="C50" s="13"/>
      <c r="D50" s="4"/>
      <c r="E50" s="13"/>
      <c r="I50" s="147"/>
      <c r="J50" s="147"/>
      <c r="M50" s="4"/>
      <c r="N50" s="4"/>
      <c r="O50" s="4"/>
      <c r="P50" s="4"/>
      <c r="Q50" s="4"/>
      <c r="R50" s="147"/>
      <c r="T50" s="147"/>
      <c r="U50" s="147"/>
    </row>
    <row r="51" spans="1:21" x14ac:dyDescent="0.2">
      <c r="A51" s="147" t="s">
        <v>235</v>
      </c>
      <c r="C51" s="13"/>
      <c r="D51" s="4"/>
      <c r="E51" s="13"/>
      <c r="I51" s="147"/>
      <c r="J51" s="147"/>
      <c r="M51" s="4"/>
      <c r="N51" s="4"/>
      <c r="O51" s="4"/>
      <c r="P51" s="4"/>
      <c r="Q51" s="4"/>
      <c r="R51" s="147"/>
      <c r="T51" s="147"/>
      <c r="U51" s="147"/>
    </row>
    <row r="52" spans="1:21" x14ac:dyDescent="0.2">
      <c r="A52" s="146" t="s">
        <v>221</v>
      </c>
      <c r="B52" s="148" t="s">
        <v>11</v>
      </c>
      <c r="C52" s="148">
        <f>D93</f>
        <v>0</v>
      </c>
      <c r="D52" s="9">
        <f>Grunduppgifter!B25</f>
        <v>283</v>
      </c>
      <c r="E52" s="13">
        <f>C52*D52</f>
        <v>0</v>
      </c>
      <c r="I52" s="147"/>
      <c r="J52" s="147"/>
      <c r="M52" s="4"/>
      <c r="N52" s="4"/>
      <c r="O52" s="4"/>
      <c r="P52" s="4"/>
      <c r="Q52" s="4"/>
      <c r="R52" s="147"/>
      <c r="T52" s="147"/>
      <c r="U52" s="147"/>
    </row>
    <row r="53" spans="1:21" x14ac:dyDescent="0.2">
      <c r="A53" s="146" t="s">
        <v>222</v>
      </c>
      <c r="B53" s="148" t="s">
        <v>11</v>
      </c>
      <c r="C53" s="148">
        <f>C93</f>
        <v>0</v>
      </c>
      <c r="D53" s="9">
        <f>Grunduppgifter!B26</f>
        <v>186</v>
      </c>
      <c r="E53" s="13">
        <f>C53*D53</f>
        <v>0</v>
      </c>
      <c r="I53" s="147"/>
      <c r="J53" s="147"/>
      <c r="M53" s="4"/>
      <c r="N53" s="4"/>
      <c r="O53" s="4"/>
      <c r="P53" s="4"/>
      <c r="Q53" s="4"/>
      <c r="R53" s="147"/>
      <c r="T53" s="147"/>
      <c r="U53" s="147"/>
    </row>
    <row r="54" spans="1:21" x14ac:dyDescent="0.2">
      <c r="A54" s="148" t="s">
        <v>267</v>
      </c>
      <c r="C54" s="148">
        <v>0.1</v>
      </c>
      <c r="D54" s="13"/>
      <c r="E54" s="13">
        <f>C54*D54</f>
        <v>0</v>
      </c>
      <c r="I54" s="147"/>
      <c r="J54" s="147"/>
      <c r="M54" s="4"/>
      <c r="N54" s="4"/>
      <c r="O54" s="4"/>
      <c r="P54" s="4"/>
      <c r="Q54" s="4"/>
      <c r="R54" s="147"/>
      <c r="T54" s="147"/>
      <c r="U54" s="147"/>
    </row>
    <row r="55" spans="1:21" x14ac:dyDescent="0.2">
      <c r="A55" s="146" t="s">
        <v>236</v>
      </c>
      <c r="C55" s="148">
        <v>0.1</v>
      </c>
      <c r="D55" s="13">
        <f>'Maskiner 1'!J30</f>
        <v>6566.3263932658247</v>
      </c>
      <c r="E55" s="13">
        <f>C55*D55</f>
        <v>656.63263932658253</v>
      </c>
      <c r="I55" s="147"/>
      <c r="J55" s="147"/>
      <c r="M55" s="4"/>
      <c r="N55" s="4"/>
      <c r="O55" s="4"/>
      <c r="P55" s="4"/>
      <c r="Q55" s="4"/>
      <c r="R55" s="147"/>
      <c r="T55" s="147"/>
      <c r="U55" s="147"/>
    </row>
    <row r="56" spans="1:21" x14ac:dyDescent="0.2">
      <c r="A56" s="146" t="s">
        <v>237</v>
      </c>
      <c r="B56" s="148" t="s">
        <v>16</v>
      </c>
      <c r="C56" s="96">
        <v>100</v>
      </c>
      <c r="D56" s="4">
        <f>Grunduppgifter!B31</f>
        <v>0.96</v>
      </c>
      <c r="E56" s="13">
        <f>D56*C56</f>
        <v>96</v>
      </c>
      <c r="I56" s="147"/>
      <c r="J56" s="147"/>
      <c r="M56" s="4"/>
      <c r="N56" s="4"/>
      <c r="O56" s="4"/>
      <c r="P56" s="4"/>
      <c r="Q56" s="4"/>
      <c r="R56" s="147"/>
      <c r="T56" s="147"/>
      <c r="U56" s="147"/>
    </row>
    <row r="57" spans="1:21" x14ac:dyDescent="0.2">
      <c r="A57" s="146" t="s">
        <v>268</v>
      </c>
      <c r="B57" s="148" t="s">
        <v>269</v>
      </c>
      <c r="C57" s="13">
        <f>C9</f>
        <v>950</v>
      </c>
      <c r="D57" s="4">
        <v>0</v>
      </c>
      <c r="E57" s="13">
        <f>C57*D57</f>
        <v>0</v>
      </c>
      <c r="I57" s="147"/>
      <c r="J57" s="147"/>
      <c r="M57" s="4"/>
      <c r="N57" s="4"/>
      <c r="O57" s="4"/>
      <c r="P57" s="4"/>
      <c r="Q57" s="4"/>
      <c r="R57" s="147"/>
      <c r="T57" s="147"/>
      <c r="U57" s="147"/>
    </row>
    <row r="58" spans="1:21" x14ac:dyDescent="0.2">
      <c r="A58" s="29" t="s">
        <v>308</v>
      </c>
      <c r="B58" s="24" t="s">
        <v>120</v>
      </c>
      <c r="C58" s="26">
        <f>C9/10</f>
        <v>95</v>
      </c>
      <c r="D58" s="31">
        <v>1.6</v>
      </c>
      <c r="E58" s="26">
        <f>C58*D58</f>
        <v>152</v>
      </c>
      <c r="F58" s="24"/>
      <c r="G58" s="24"/>
      <c r="H58" s="24"/>
      <c r="I58" s="147"/>
      <c r="J58" s="147"/>
      <c r="M58" s="4"/>
      <c r="N58" s="4"/>
      <c r="O58" s="4"/>
      <c r="P58" s="4"/>
      <c r="Q58" s="4"/>
      <c r="R58" s="147"/>
      <c r="T58" s="147"/>
      <c r="U58" s="147"/>
    </row>
    <row r="59" spans="1:21" x14ac:dyDescent="0.2">
      <c r="A59" s="147" t="s">
        <v>238</v>
      </c>
      <c r="C59" s="13"/>
      <c r="D59" s="4"/>
      <c r="E59" s="39">
        <f>SUM(E52:E58)</f>
        <v>904.63263932658253</v>
      </c>
      <c r="I59" s="147"/>
      <c r="J59" s="147"/>
      <c r="M59" s="4"/>
      <c r="N59" s="4"/>
      <c r="O59" s="4"/>
      <c r="P59" s="4"/>
      <c r="Q59" s="4"/>
      <c r="R59" s="147"/>
      <c r="T59" s="147"/>
      <c r="U59" s="147"/>
    </row>
    <row r="60" spans="1:21" x14ac:dyDescent="0.2">
      <c r="A60" s="146"/>
      <c r="C60" s="13"/>
      <c r="D60" s="4"/>
      <c r="E60" s="13"/>
      <c r="I60" s="147"/>
      <c r="J60" s="147"/>
      <c r="M60" s="4"/>
      <c r="N60" s="4"/>
      <c r="O60" s="4"/>
      <c r="P60" s="4"/>
      <c r="Q60" s="4"/>
      <c r="R60" s="147"/>
      <c r="T60" s="147"/>
      <c r="U60" s="147"/>
    </row>
    <row r="61" spans="1:21" x14ac:dyDescent="0.2">
      <c r="A61" s="147" t="s">
        <v>131</v>
      </c>
      <c r="C61" s="13"/>
      <c r="D61" s="4"/>
      <c r="E61" s="13"/>
      <c r="I61" s="147"/>
      <c r="J61" s="147"/>
      <c r="M61" s="4"/>
      <c r="N61" s="4"/>
      <c r="O61" s="4"/>
      <c r="P61" s="4"/>
      <c r="Q61" s="4"/>
      <c r="R61" s="147"/>
      <c r="T61" s="147"/>
      <c r="U61" s="147"/>
    </row>
    <row r="62" spans="1:21" x14ac:dyDescent="0.2">
      <c r="A62" s="148" t="s">
        <v>19</v>
      </c>
      <c r="B62" s="146"/>
      <c r="C62" s="13">
        <v>1</v>
      </c>
      <c r="D62" s="9">
        <f>Grunduppgifter!B58</f>
        <v>1500</v>
      </c>
      <c r="E62" s="13">
        <f>C62*D62</f>
        <v>1500</v>
      </c>
      <c r="F62" s="13"/>
      <c r="H62" s="148" t="s">
        <v>139</v>
      </c>
      <c r="I62" s="147"/>
      <c r="J62" s="147"/>
      <c r="M62" s="4"/>
      <c r="N62" s="4"/>
      <c r="O62" s="4"/>
      <c r="P62" s="4"/>
      <c r="Q62" s="4"/>
      <c r="R62" s="147"/>
      <c r="T62" s="147"/>
      <c r="U62" s="147"/>
    </row>
    <row r="63" spans="1:21" x14ac:dyDescent="0.2">
      <c r="A63" s="24" t="s">
        <v>134</v>
      </c>
      <c r="B63" s="109" t="s">
        <v>11</v>
      </c>
      <c r="C63" s="26">
        <f>D94</f>
        <v>60</v>
      </c>
      <c r="D63" s="26">
        <f>Grunduppgifter!B25</f>
        <v>283</v>
      </c>
      <c r="E63" s="26">
        <f>C63*D63</f>
        <v>16980</v>
      </c>
      <c r="F63" s="26"/>
      <c r="G63" s="24"/>
      <c r="H63" s="24" t="s">
        <v>139</v>
      </c>
      <c r="I63" s="147"/>
      <c r="J63" s="147"/>
      <c r="M63" s="4"/>
      <c r="N63" s="4"/>
      <c r="O63" s="4"/>
      <c r="P63" s="4"/>
      <c r="Q63" s="4"/>
      <c r="R63" s="147"/>
      <c r="T63" s="147"/>
      <c r="U63" s="147"/>
    </row>
    <row r="64" spans="1:21" x14ac:dyDescent="0.2">
      <c r="A64" s="147" t="s">
        <v>239</v>
      </c>
      <c r="B64" s="147"/>
      <c r="C64" s="147"/>
      <c r="D64" s="147"/>
      <c r="E64" s="39">
        <f>SUM(E62:E63)</f>
        <v>18480</v>
      </c>
      <c r="F64" s="147"/>
      <c r="G64" s="147"/>
      <c r="H64" s="147"/>
      <c r="I64" s="147"/>
      <c r="J64" s="147"/>
      <c r="M64" s="4"/>
      <c r="N64" s="4"/>
      <c r="O64" s="4"/>
      <c r="P64" s="4"/>
      <c r="Q64" s="4"/>
      <c r="R64" s="147"/>
      <c r="T64" s="147"/>
      <c r="U64" s="147"/>
    </row>
    <row r="65" spans="1:21" x14ac:dyDescent="0.2">
      <c r="A65" s="30"/>
      <c r="B65" s="24"/>
      <c r="C65" s="24"/>
      <c r="D65" s="24"/>
      <c r="E65" s="26"/>
      <c r="F65" s="24"/>
      <c r="G65" s="24"/>
      <c r="H65" s="24"/>
      <c r="S65" s="147"/>
    </row>
    <row r="66" spans="1:21" x14ac:dyDescent="0.2">
      <c r="A66" s="147" t="s">
        <v>240</v>
      </c>
      <c r="B66" s="46"/>
      <c r="C66" s="46"/>
      <c r="D66" s="46"/>
      <c r="E66" s="110">
        <f>E35+E42+E49+E59+E64</f>
        <v>64324.149643182485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147"/>
      <c r="T66" s="46"/>
      <c r="U66" s="46"/>
    </row>
    <row r="67" spans="1:21" x14ac:dyDescent="0.2">
      <c r="A67" s="46"/>
      <c r="E67" s="13"/>
      <c r="S67" s="147"/>
    </row>
    <row r="68" spans="1:21" x14ac:dyDescent="0.2">
      <c r="A68" s="147" t="s">
        <v>241</v>
      </c>
      <c r="E68" s="9"/>
    </row>
    <row r="69" spans="1:21" x14ac:dyDescent="0.2">
      <c r="A69" s="148" t="s">
        <v>121</v>
      </c>
      <c r="C69" s="148">
        <v>0.1</v>
      </c>
      <c r="D69" s="13">
        <f>Grunduppgifter!B67/(Grunduppgifter!B21+0.05*(Grunduppgifter!B20-Grunduppgifter!B21))</f>
        <v>27272.727272727272</v>
      </c>
      <c r="E69" s="13">
        <f>C69*D69</f>
        <v>2727.2727272727275</v>
      </c>
    </row>
    <row r="70" spans="1:21" x14ac:dyDescent="0.2">
      <c r="A70" s="24" t="s">
        <v>215</v>
      </c>
      <c r="B70" s="24"/>
      <c r="C70" s="24">
        <v>0.1</v>
      </c>
      <c r="D70" s="26">
        <f>Grunduppgifter!B68/(Grunduppgifter!B21+0.05*(Grunduppgifter!B20-Grunduppgifter!B21))</f>
        <v>27272.727272727272</v>
      </c>
      <c r="E70" s="26">
        <f>C70*D70</f>
        <v>2727.2727272727275</v>
      </c>
      <c r="F70" s="24"/>
      <c r="G70" s="24"/>
      <c r="H70" s="24"/>
      <c r="R70" s="147"/>
    </row>
    <row r="71" spans="1:21" x14ac:dyDescent="0.2">
      <c r="A71" s="147" t="s">
        <v>242</v>
      </c>
      <c r="B71" s="147"/>
      <c r="C71" s="147"/>
      <c r="D71" s="39"/>
      <c r="E71" s="39">
        <f>SUM(E69:E70)</f>
        <v>5454.545454545455</v>
      </c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T71" s="147"/>
      <c r="U71" s="147"/>
    </row>
    <row r="72" spans="1:21" x14ac:dyDescent="0.2">
      <c r="A72" s="46"/>
      <c r="D72" s="13"/>
      <c r="E72" s="13"/>
      <c r="R72" s="147"/>
      <c r="S72" s="146"/>
    </row>
    <row r="73" spans="1:21" x14ac:dyDescent="0.2">
      <c r="A73" s="30" t="s">
        <v>0</v>
      </c>
      <c r="B73" s="24"/>
      <c r="C73" s="24"/>
      <c r="D73" s="24"/>
      <c r="E73" s="52">
        <f>E11-E66-E71</f>
        <v>0</v>
      </c>
      <c r="F73" s="24"/>
      <c r="G73" s="24"/>
      <c r="H73" s="24"/>
      <c r="S73" s="147"/>
    </row>
    <row r="74" spans="1:21" x14ac:dyDescent="0.2">
      <c r="A74" s="147"/>
      <c r="E74" s="9"/>
      <c r="S74" s="147"/>
    </row>
    <row r="75" spans="1:21" x14ac:dyDescent="0.2">
      <c r="A75" s="147"/>
    </row>
    <row r="76" spans="1:21" ht="15.75" x14ac:dyDescent="0.25">
      <c r="A76" s="53" t="s">
        <v>243</v>
      </c>
      <c r="B76" s="24"/>
      <c r="C76" s="24"/>
      <c r="D76" s="24"/>
      <c r="E76" s="24"/>
      <c r="F76" s="24"/>
      <c r="G76" s="24"/>
      <c r="H76" s="24"/>
    </row>
    <row r="77" spans="1:21" x14ac:dyDescent="0.2">
      <c r="A77" s="147"/>
      <c r="B77" s="111"/>
      <c r="C77" s="133" t="s">
        <v>244</v>
      </c>
      <c r="D77" s="133" t="s">
        <v>245</v>
      </c>
      <c r="E77" s="111"/>
      <c r="F77" s="133" t="s">
        <v>29</v>
      </c>
      <c r="G77" s="50"/>
      <c r="H77" s="147" t="s">
        <v>30</v>
      </c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</row>
    <row r="78" spans="1:21" x14ac:dyDescent="0.2">
      <c r="A78" s="30" t="s">
        <v>27</v>
      </c>
      <c r="B78" s="30"/>
      <c r="C78" s="134" t="s">
        <v>284</v>
      </c>
      <c r="D78" s="134" t="s">
        <v>284</v>
      </c>
      <c r="E78" s="112"/>
      <c r="F78" s="134" t="s">
        <v>284</v>
      </c>
      <c r="G78" s="49"/>
      <c r="H78" s="30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</row>
    <row r="79" spans="1:21" x14ac:dyDescent="0.2">
      <c r="A79" s="148" t="s">
        <v>82</v>
      </c>
      <c r="D79" s="148">
        <v>2</v>
      </c>
      <c r="F79" s="148">
        <v>2</v>
      </c>
    </row>
    <row r="80" spans="1:21" x14ac:dyDescent="0.2">
      <c r="A80" s="148" t="s">
        <v>33</v>
      </c>
      <c r="D80" s="148">
        <v>2</v>
      </c>
      <c r="F80" s="148">
        <v>2</v>
      </c>
    </row>
    <row r="81" spans="1:21" x14ac:dyDescent="0.2">
      <c r="A81" s="148" t="s">
        <v>53</v>
      </c>
      <c r="D81" s="148">
        <v>3</v>
      </c>
      <c r="F81" s="148">
        <v>0</v>
      </c>
      <c r="H81" s="148" t="s">
        <v>270</v>
      </c>
    </row>
    <row r="82" spans="1:21" x14ac:dyDescent="0.2">
      <c r="A82" s="148" t="s">
        <v>247</v>
      </c>
      <c r="D82" s="148">
        <v>5</v>
      </c>
      <c r="F82" s="148">
        <v>0</v>
      </c>
    </row>
    <row r="83" spans="1:21" x14ac:dyDescent="0.2">
      <c r="A83" s="148" t="s">
        <v>34</v>
      </c>
      <c r="D83" s="148">
        <v>4</v>
      </c>
      <c r="F83" s="148">
        <v>0</v>
      </c>
      <c r="H83" s="148" t="s">
        <v>66</v>
      </c>
    </row>
    <row r="84" spans="1:21" x14ac:dyDescent="0.2">
      <c r="A84" s="148" t="s">
        <v>88</v>
      </c>
      <c r="D84" s="148">
        <v>0</v>
      </c>
      <c r="F84" s="148">
        <v>0</v>
      </c>
    </row>
    <row r="85" spans="1:21" x14ac:dyDescent="0.2">
      <c r="A85" s="148" t="s">
        <v>64</v>
      </c>
      <c r="F85" s="148">
        <v>0</v>
      </c>
    </row>
    <row r="86" spans="1:21" x14ac:dyDescent="0.2">
      <c r="A86" s="148" t="s">
        <v>248</v>
      </c>
      <c r="C86" s="148">
        <v>6</v>
      </c>
      <c r="D86" s="148">
        <v>1</v>
      </c>
      <c r="F86" s="148">
        <v>0</v>
      </c>
      <c r="H86" s="146" t="s">
        <v>126</v>
      </c>
      <c r="I86" s="146"/>
    </row>
    <row r="87" spans="1:21" x14ac:dyDescent="0.2">
      <c r="A87" s="148" t="s">
        <v>35</v>
      </c>
      <c r="C87" s="148">
        <v>19</v>
      </c>
      <c r="D87" s="148">
        <v>1</v>
      </c>
      <c r="F87" s="148">
        <v>0</v>
      </c>
      <c r="H87" s="146"/>
    </row>
    <row r="88" spans="1:21" x14ac:dyDescent="0.2">
      <c r="A88" s="24" t="s">
        <v>127</v>
      </c>
      <c r="B88" s="24"/>
      <c r="C88" s="24"/>
      <c r="D88" s="24">
        <v>2</v>
      </c>
      <c r="E88" s="24"/>
      <c r="F88" s="24">
        <v>0</v>
      </c>
      <c r="G88" s="24"/>
      <c r="H88" s="24"/>
    </row>
    <row r="89" spans="1:21" x14ac:dyDescent="0.2">
      <c r="A89" s="146" t="s">
        <v>249</v>
      </c>
      <c r="C89" s="148">
        <f>SUM(C79:C88)</f>
        <v>25</v>
      </c>
      <c r="D89" s="148">
        <f>SUM(D79:D88)</f>
        <v>20</v>
      </c>
      <c r="F89" s="148">
        <f>SUM(F79:F88)</f>
        <v>4</v>
      </c>
    </row>
    <row r="91" spans="1:21" x14ac:dyDescent="0.2">
      <c r="A91" s="146" t="s">
        <v>250</v>
      </c>
      <c r="C91" s="9">
        <f>(0.2*C4/8+0.8*C4/8)*9/10</f>
        <v>112.5</v>
      </c>
      <c r="D91" s="9">
        <f>(0.2*C4/8+0.8*C4/8)*1/10</f>
        <v>12.5</v>
      </c>
      <c r="F91" s="9">
        <f>0.2*C4/7/30+0.8*C4/7/30</f>
        <v>4.7619047619047619</v>
      </c>
      <c r="H91" s="146" t="s">
        <v>414</v>
      </c>
    </row>
    <row r="92" spans="1:21" x14ac:dyDescent="0.2">
      <c r="A92" s="146" t="s">
        <v>231</v>
      </c>
    </row>
    <row r="93" spans="1:21" x14ac:dyDescent="0.2">
      <c r="A93" s="22" t="s">
        <v>128</v>
      </c>
      <c r="B93" s="22"/>
      <c r="C93" s="22"/>
      <c r="D93" s="22"/>
      <c r="E93" s="22"/>
      <c r="F93" s="22">
        <v>0</v>
      </c>
      <c r="G93" s="22"/>
      <c r="H93" s="195"/>
    </row>
    <row r="94" spans="1:21" s="194" customFormat="1" x14ac:dyDescent="0.2">
      <c r="A94" s="60" t="s">
        <v>259</v>
      </c>
      <c r="B94" s="24"/>
      <c r="C94" s="24"/>
      <c r="D94" s="24">
        <f>Grunduppgifter!B27</f>
        <v>60</v>
      </c>
      <c r="E94" s="24"/>
      <c r="F94" s="24"/>
      <c r="G94" s="24"/>
      <c r="H94" s="29"/>
    </row>
    <row r="95" spans="1:21" x14ac:dyDescent="0.2">
      <c r="A95" s="147" t="s">
        <v>251</v>
      </c>
      <c r="B95" s="147"/>
      <c r="C95" s="45">
        <f>SUM(C89:C94)</f>
        <v>137.5</v>
      </c>
      <c r="D95" s="45">
        <f>SUM(D89:D94)</f>
        <v>92.5</v>
      </c>
      <c r="E95" s="147"/>
      <c r="F95" s="45">
        <f>SUM(F89:F94)</f>
        <v>8.7619047619047628</v>
      </c>
      <c r="G95" s="147"/>
      <c r="H95" s="147">
        <f>SUM(B95:D95)</f>
        <v>230</v>
      </c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</row>
    <row r="96" spans="1:21" x14ac:dyDescent="0.2">
      <c r="A96" s="147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</row>
    <row r="98" spans="1:8" ht="25.5" x14ac:dyDescent="0.25">
      <c r="A98" s="53" t="s">
        <v>132</v>
      </c>
      <c r="B98" s="114"/>
      <c r="C98" s="115" t="s">
        <v>252</v>
      </c>
      <c r="D98" s="115" t="s">
        <v>253</v>
      </c>
    </row>
    <row r="99" spans="1:8" x14ac:dyDescent="0.2">
      <c r="A99" s="148" t="s">
        <v>278</v>
      </c>
      <c r="B99" s="116"/>
      <c r="C99" s="116">
        <f>(E28-E10)/C9</f>
        <v>16.383732346411485</v>
      </c>
      <c r="D99" s="116">
        <f t="shared" ref="D99:D104" si="1">C99+$C$105*C99/($C$106-$C$105)</f>
        <v>17.783920414693156</v>
      </c>
    </row>
    <row r="100" spans="1:8" x14ac:dyDescent="0.2">
      <c r="A100" s="148" t="s">
        <v>254</v>
      </c>
      <c r="B100" s="116"/>
      <c r="C100" s="116">
        <f>E34/C9</f>
        <v>4.1434534721837064</v>
      </c>
      <c r="D100" s="116">
        <f t="shared" si="1"/>
        <v>4.4975616808973706</v>
      </c>
    </row>
    <row r="101" spans="1:8" x14ac:dyDescent="0.2">
      <c r="A101" s="148" t="s">
        <v>258</v>
      </c>
      <c r="B101" s="116"/>
      <c r="C101" s="116">
        <f>E42/C9</f>
        <v>26.25125313283208</v>
      </c>
      <c r="D101" s="116">
        <f t="shared" si="1"/>
        <v>28.494740186750178</v>
      </c>
    </row>
    <row r="102" spans="1:8" x14ac:dyDescent="0.2">
      <c r="A102" s="148" t="s">
        <v>231</v>
      </c>
      <c r="B102" s="116"/>
      <c r="C102" s="116">
        <f>E49/C9</f>
        <v>0</v>
      </c>
      <c r="D102" s="116">
        <f t="shared" si="1"/>
        <v>0</v>
      </c>
    </row>
    <row r="103" spans="1:8" x14ac:dyDescent="0.2">
      <c r="A103" s="148" t="s">
        <v>235</v>
      </c>
      <c r="B103" s="116"/>
      <c r="C103" s="116">
        <f>E59/C9</f>
        <v>0.95224488350166581</v>
      </c>
      <c r="D103" s="116">
        <f t="shared" si="1"/>
        <v>1.0336257249222924</v>
      </c>
    </row>
    <row r="104" spans="1:8" x14ac:dyDescent="0.2">
      <c r="A104" s="148" t="s">
        <v>131</v>
      </c>
      <c r="B104" s="116"/>
      <c r="C104" s="116">
        <f>E64/C9</f>
        <v>19.452631578947368</v>
      </c>
      <c r="D104" s="116">
        <f t="shared" si="1"/>
        <v>21.115094200871681</v>
      </c>
    </row>
    <row r="105" spans="1:8" x14ac:dyDescent="0.2">
      <c r="A105" s="24" t="s">
        <v>241</v>
      </c>
      <c r="B105" s="117"/>
      <c r="C105" s="117">
        <f>E71/C9</f>
        <v>5.7416267942583739</v>
      </c>
      <c r="D105" s="117"/>
    </row>
    <row r="106" spans="1:8" x14ac:dyDescent="0.2">
      <c r="B106" s="113"/>
      <c r="C106" s="113">
        <f>SUM(C99:C105)</f>
        <v>72.924942208134681</v>
      </c>
      <c r="D106" s="113">
        <f>SUM(D99:D105)</f>
        <v>72.924942208134681</v>
      </c>
    </row>
    <row r="107" spans="1:8" x14ac:dyDescent="0.2">
      <c r="B107" s="116"/>
    </row>
    <row r="109" spans="1:8" x14ac:dyDescent="0.2">
      <c r="A109" s="58" t="s">
        <v>255</v>
      </c>
      <c r="B109" s="58"/>
      <c r="C109" s="118">
        <v>-0.5</v>
      </c>
      <c r="D109" s="118">
        <v>-0.25</v>
      </c>
      <c r="E109" s="58">
        <v>0</v>
      </c>
      <c r="F109" s="118">
        <v>0.25</v>
      </c>
      <c r="G109" s="118">
        <v>0.5</v>
      </c>
    </row>
    <row r="110" spans="1:8" x14ac:dyDescent="0.2">
      <c r="A110" s="148" t="s">
        <v>256</v>
      </c>
      <c r="B110" s="148" t="s">
        <v>246</v>
      </c>
      <c r="C110" s="9">
        <f>($C$95+$D$95)*(1+C109)</f>
        <v>115</v>
      </c>
      <c r="D110" s="9">
        <f>($C$95+$D$95)*(1+D109)</f>
        <v>172.5</v>
      </c>
      <c r="E110" s="9">
        <f>($C$95+$D$95)*(1+E109)</f>
        <v>230</v>
      </c>
      <c r="F110" s="9">
        <f>($C$95+$D$95)*(1+F109)</f>
        <v>287.5</v>
      </c>
      <c r="G110" s="9">
        <f>($C$95+$D$95)*(1+G109)</f>
        <v>345</v>
      </c>
    </row>
    <row r="111" spans="1:8" x14ac:dyDescent="0.2">
      <c r="A111" s="24" t="s">
        <v>116</v>
      </c>
      <c r="B111" s="24" t="s">
        <v>133</v>
      </c>
      <c r="C111" s="31">
        <f>($E$66+$E$71-$E$10+C109*($E$14+$E$15+$E$38+$E$39+$E$45+$E$52+$E$53))/$C$9</f>
        <v>54.623626418660983</v>
      </c>
      <c r="D111" s="31">
        <f>($E$66+$E$71-$E$10+D109*($E$14+$E$15+$E$38+$E$39+$E$45+$E$52+$E$53))/$C$9</f>
        <v>63.774284313397828</v>
      </c>
      <c r="E111" s="31">
        <f>($E$66+$E$71-$E$10+E109*($E$14+$E$15+$E$38+$E$39+$E$45+$E$52+$E$53))/$C$9</f>
        <v>72.924942208134667</v>
      </c>
      <c r="F111" s="31">
        <f>($E$66+$E$71-$E$10+F109*($E$14+$E$15+$E$38+$E$39+$E$45+$E$52+$E$53))/$C$9</f>
        <v>82.075600102871505</v>
      </c>
      <c r="G111" s="31">
        <f>($E$66+$E$71-$E$10+G109*($E$14+$E$15+$E$38+$E$39+$E$45+$E$52+$E$53))/$C$9</f>
        <v>91.226257997608357</v>
      </c>
      <c r="H111" s="147"/>
    </row>
    <row r="114" spans="1:8" x14ac:dyDescent="0.2">
      <c r="A114" s="30" t="s">
        <v>255</v>
      </c>
      <c r="B114" s="30"/>
      <c r="C114" s="119">
        <v>-0.5</v>
      </c>
      <c r="D114" s="119">
        <v>-0.25</v>
      </c>
      <c r="E114" s="30">
        <v>0</v>
      </c>
      <c r="F114" s="119">
        <v>0.25</v>
      </c>
      <c r="G114" s="119">
        <v>0.5</v>
      </c>
      <c r="H114" s="148" t="s">
        <v>296</v>
      </c>
    </row>
    <row r="115" spans="1:8" x14ac:dyDescent="0.2">
      <c r="A115" s="148" t="s">
        <v>4</v>
      </c>
      <c r="B115" s="148" t="s">
        <v>257</v>
      </c>
      <c r="C115" s="136">
        <f>$C$9/1000*(1+C114)</f>
        <v>0.47499999999999998</v>
      </c>
      <c r="D115" s="136">
        <f>$C$9/1000*(1+D114)</f>
        <v>0.71249999999999991</v>
      </c>
      <c r="E115" s="136">
        <f>$C$9/1000*(1+E114)</f>
        <v>0.95</v>
      </c>
      <c r="F115" s="136">
        <f>$C$9/1000*(1+F114)</f>
        <v>1.1875</v>
      </c>
      <c r="G115" s="136">
        <f>$C$9/1000*(1+G114)</f>
        <v>1.4249999999999998</v>
      </c>
    </row>
    <row r="116" spans="1:8" x14ac:dyDescent="0.2">
      <c r="A116" s="148" t="s">
        <v>220</v>
      </c>
      <c r="B116" s="148" t="s">
        <v>202</v>
      </c>
      <c r="C116" s="13">
        <f>$E$35</f>
        <v>20000.826527665427</v>
      </c>
      <c r="D116" s="13">
        <f>$E$35</f>
        <v>20000.826527665427</v>
      </c>
      <c r="E116" s="13">
        <f>$E$35</f>
        <v>20000.826527665427</v>
      </c>
      <c r="F116" s="13">
        <f>$E$35</f>
        <v>20000.826527665427</v>
      </c>
      <c r="G116" s="13">
        <f>$E$35</f>
        <v>20000.826527665427</v>
      </c>
    </row>
    <row r="117" spans="1:8" x14ac:dyDescent="0.2">
      <c r="A117" s="148" t="s">
        <v>258</v>
      </c>
      <c r="B117" s="148" t="s">
        <v>202</v>
      </c>
      <c r="C117" s="13">
        <f>((0.2*$C$4/8+0.8*$C$4*(1+C114)/8)*9/10*Grunduppgifter!$B$26)+((0.2*$C$4/8+0.8*$C$4*(1+C114)/8)*1/10*Grunduppgifter!$B$25)+((0.2*$C$4/8/30+0.8*$C$4*(1+C114)/8/30)*Grunduppgifter!$B$30)</f>
        <v>14927.5</v>
      </c>
      <c r="D117" s="13">
        <f>((0.2*$C$4/8+0.8*$C$4*(1+D114)/8)*9/10*Grunduppgifter!$B$26)+((0.2*$C$4/8+0.8*$C$4*(1+D114)/8)*1/10*Grunduppgifter!$B$25)+((0.2*$C$4/8/30+0.8*$C$4*(1+D114)/8/30)*Grunduppgifter!$B$30)</f>
        <v>19903.333333333332</v>
      </c>
      <c r="E117" s="13">
        <f>((0.2*$C$4/8+0.8*$C$4*(1+E114)/8)*9/10*Grunduppgifter!$B$26)+((0.2*$C$4/8+0.8*$C$4*(1+E114)/8)*1/10*Grunduppgifter!$B$25)+((0.2*$C$4/8/30+0.8*$C$4*(1+E114)/8/30)*Grunduppgifter!$B$30)</f>
        <v>24879.166666666668</v>
      </c>
      <c r="F117" s="13">
        <f>((0.2*$C$4/8+0.8*$C$4*(1+F114)/8)*9/10*Grunduppgifter!$B$26)+((0.2*$C$4/8+0.8*$C$4*(1+F114)/8)*1/10*Grunduppgifter!$B$25)+((0.2*$C$4/8/30+0.8*$C$4*(1+F114)/8/30)*Grunduppgifter!$B$30)</f>
        <v>29855</v>
      </c>
      <c r="G117" s="13">
        <f>((0.2*$C$4/8+0.8*$C$4*(1+G114)/8)*9/10*Grunduppgifter!$B$26)+((0.2*$C$4/8+0.8*$C$4*(1+G114)/8)*1/10*Grunduppgifter!$B$25)+((0.2*$C$4/8/30+0.8*$C$4*(1+G114)/8/30)*Grunduppgifter!$B$30)</f>
        <v>34830.833333333336</v>
      </c>
    </row>
    <row r="118" spans="1:8" x14ac:dyDescent="0.2">
      <c r="A118" s="148" t="s">
        <v>228</v>
      </c>
      <c r="B118" s="148" t="s">
        <v>202</v>
      </c>
      <c r="C118" s="13">
        <f>$E$40</f>
        <v>0</v>
      </c>
      <c r="D118" s="13">
        <f>$E$40</f>
        <v>0</v>
      </c>
      <c r="E118" s="13">
        <f>$E$40</f>
        <v>0</v>
      </c>
      <c r="F118" s="13">
        <f>$E$40</f>
        <v>0</v>
      </c>
      <c r="G118" s="13">
        <f>$E$40</f>
        <v>0</v>
      </c>
    </row>
    <row r="119" spans="1:8" x14ac:dyDescent="0.2">
      <c r="A119" s="148" t="s">
        <v>231</v>
      </c>
      <c r="B119" s="148" t="s">
        <v>202</v>
      </c>
      <c r="C119" s="13">
        <f t="shared" ref="C119:D119" si="2">$E$45+$E$46+$E$47+$E$48*(1+C114)</f>
        <v>0</v>
      </c>
      <c r="D119" s="13">
        <f t="shared" si="2"/>
        <v>0</v>
      </c>
      <c r="E119" s="13">
        <f>$E$45+$E$46+$E$47+$E$48*(1+E114)</f>
        <v>0</v>
      </c>
      <c r="F119" s="13">
        <f>$E$45+$E$46+$E$47+$E$48*(1+F114)</f>
        <v>0</v>
      </c>
      <c r="G119" s="13">
        <f>$E$45+$E$46+$E$47+$E$48*(1+G114)</f>
        <v>0</v>
      </c>
    </row>
    <row r="120" spans="1:8" x14ac:dyDescent="0.2">
      <c r="A120" s="148" t="s">
        <v>235</v>
      </c>
      <c r="B120" s="148" t="s">
        <v>202</v>
      </c>
      <c r="C120" s="13">
        <f t="shared" ref="C120:D120" si="3">$E$54+$E$55+$E$56+($E$52+$E$53+$E$57+$E$58)*(1+C114)</f>
        <v>828.63263932658253</v>
      </c>
      <c r="D120" s="13">
        <f t="shared" si="3"/>
        <v>866.63263932658253</v>
      </c>
      <c r="E120" s="13">
        <f>$E$54+$E$55+$E$56+($E$52+$E$53+$E$57+$E$58)*(1+E114)</f>
        <v>904.63263932658253</v>
      </c>
      <c r="F120" s="13">
        <f t="shared" ref="F120:G120" si="4">$E$54+$E$55+$E$56+($E$52+$E$53+$E$57+$E$58)*(1+F114)</f>
        <v>942.63263932658253</v>
      </c>
      <c r="G120" s="13">
        <f t="shared" si="4"/>
        <v>980.63263932658253</v>
      </c>
    </row>
    <row r="121" spans="1:8" x14ac:dyDescent="0.2">
      <c r="A121" s="148" t="s">
        <v>259</v>
      </c>
      <c r="B121" s="148" t="s">
        <v>202</v>
      </c>
      <c r="C121" s="13">
        <f t="shared" ref="C121:D121" si="5">0.2*$E$64+0.8*$E$64*(1+C114)</f>
        <v>11088</v>
      </c>
      <c r="D121" s="13">
        <f t="shared" si="5"/>
        <v>14784</v>
      </c>
      <c r="E121" s="13">
        <f>0.2*$E$64+0.8*$E$64*(1+E114)</f>
        <v>18480</v>
      </c>
      <c r="F121" s="13">
        <f t="shared" ref="F121:G121" si="6">0.2*$E$64+0.8*$E$64*(1+F114)</f>
        <v>22176</v>
      </c>
      <c r="G121" s="13">
        <f t="shared" si="6"/>
        <v>25872</v>
      </c>
      <c r="H121" s="13"/>
    </row>
    <row r="122" spans="1:8" x14ac:dyDescent="0.2">
      <c r="A122" s="148" t="s">
        <v>260</v>
      </c>
      <c r="B122" s="148" t="s">
        <v>202</v>
      </c>
      <c r="C122" s="13">
        <f>SUM(C117:C121)</f>
        <v>26844.132639326584</v>
      </c>
      <c r="D122" s="13">
        <f>SUM(D117:D121)</f>
        <v>35553.965972659913</v>
      </c>
      <c r="E122" s="13">
        <f>SUM(E117:E121)</f>
        <v>44263.799305993249</v>
      </c>
      <c r="F122" s="13">
        <f>SUM(F117:F121)</f>
        <v>52973.632639326577</v>
      </c>
      <c r="G122" s="13">
        <f>SUM(G117:G121)</f>
        <v>61683.46597265992</v>
      </c>
    </row>
    <row r="123" spans="1:8" x14ac:dyDescent="0.2">
      <c r="A123" s="148" t="s">
        <v>121</v>
      </c>
      <c r="B123" s="148" t="s">
        <v>202</v>
      </c>
      <c r="C123" s="13">
        <f>$E$71</f>
        <v>5454.545454545455</v>
      </c>
      <c r="D123" s="13">
        <f>$E$71</f>
        <v>5454.545454545455</v>
      </c>
      <c r="E123" s="13">
        <f>$E$71</f>
        <v>5454.545454545455</v>
      </c>
      <c r="F123" s="13">
        <f>$E$71</f>
        <v>5454.545454545455</v>
      </c>
      <c r="G123" s="13">
        <f>$E$71</f>
        <v>5454.545454545455</v>
      </c>
    </row>
    <row r="124" spans="1:8" x14ac:dyDescent="0.2">
      <c r="A124" s="148" t="s">
        <v>261</v>
      </c>
      <c r="B124" s="148" t="s">
        <v>202</v>
      </c>
      <c r="C124" s="13">
        <f>C116+C122+C123</f>
        <v>52299.504621537468</v>
      </c>
      <c r="D124" s="13">
        <f>D116+D122+D123</f>
        <v>61009.337954870796</v>
      </c>
      <c r="E124" s="13">
        <f>E116+E122+E123</f>
        <v>69719.171288204132</v>
      </c>
      <c r="F124" s="13">
        <f>F116+F122+F123</f>
        <v>78429.00462153746</v>
      </c>
      <c r="G124" s="13">
        <f>G116+G122+G123</f>
        <v>87138.837954870804</v>
      </c>
    </row>
    <row r="125" spans="1:8" x14ac:dyDescent="0.2">
      <c r="A125" s="24" t="s">
        <v>116</v>
      </c>
      <c r="B125" s="24" t="s">
        <v>133</v>
      </c>
      <c r="C125" s="31">
        <f>(C124-$E$10)/C115/1000</f>
        <v>109.05158867692099</v>
      </c>
      <c r="D125" s="31">
        <f>(D124-$E$10)/D115/1000</f>
        <v>84.925386603327439</v>
      </c>
      <c r="E125" s="31">
        <f>(E124-$E$10)/E115/1000</f>
        <v>72.862285566530673</v>
      </c>
      <c r="F125" s="31">
        <f>(F124-$E$10)/F115/1000</f>
        <v>65.624424944452599</v>
      </c>
      <c r="G125" s="31">
        <f>(G124-$E$10)/G115/1000</f>
        <v>60.7991845297339</v>
      </c>
    </row>
    <row r="128" spans="1:8" x14ac:dyDescent="0.2">
      <c r="A128" s="172" t="s">
        <v>262</v>
      </c>
      <c r="B128" s="121"/>
      <c r="C128" s="121"/>
      <c r="D128" s="121"/>
      <c r="E128" s="121"/>
      <c r="F128" s="122"/>
    </row>
    <row r="129" spans="1:6" ht="25.5" x14ac:dyDescent="0.2">
      <c r="A129" s="123"/>
      <c r="B129" s="169"/>
      <c r="C129" s="124" t="s">
        <v>263</v>
      </c>
      <c r="D129" s="124" t="s">
        <v>223</v>
      </c>
      <c r="E129" s="124" t="s">
        <v>115</v>
      </c>
      <c r="F129" s="125" t="s">
        <v>264</v>
      </c>
    </row>
    <row r="130" spans="1:6" x14ac:dyDescent="0.2">
      <c r="A130" s="173" t="s">
        <v>274</v>
      </c>
      <c r="B130" s="169"/>
      <c r="C130" s="169"/>
      <c r="D130" s="169"/>
      <c r="E130" s="169"/>
      <c r="F130" s="127"/>
    </row>
    <row r="131" spans="1:6" x14ac:dyDescent="0.2">
      <c r="A131" s="123" t="str">
        <f>Grunduppgifter!A36</f>
        <v xml:space="preserve">Biofer 10-3-1 </v>
      </c>
      <c r="B131" s="168" t="s">
        <v>14</v>
      </c>
      <c r="C131" s="169">
        <f>Grunduppgifter!H88</f>
        <v>0</v>
      </c>
      <c r="D131" s="169"/>
      <c r="E131" s="4">
        <f>Grunduppgifter!B36</f>
        <v>3.91</v>
      </c>
      <c r="F131" s="151">
        <f>C131*E131*(1+Grunduppgifter!$B$49)</f>
        <v>0</v>
      </c>
    </row>
    <row r="132" spans="1:6" x14ac:dyDescent="0.2">
      <c r="A132" s="123" t="str">
        <f>Grunduppgifter!A37</f>
        <v>Biofer 9-3-4</v>
      </c>
      <c r="B132" s="168" t="s">
        <v>14</v>
      </c>
      <c r="C132" s="169">
        <f>Grunduppgifter!H89</f>
        <v>0</v>
      </c>
      <c r="D132" s="169"/>
      <c r="E132" s="4">
        <f>Grunduppgifter!B37</f>
        <v>4.16</v>
      </c>
      <c r="F132" s="151">
        <f>C132*E132*(1+Grunduppgifter!$B$49)</f>
        <v>0</v>
      </c>
    </row>
    <row r="133" spans="1:6" x14ac:dyDescent="0.2">
      <c r="A133" s="123" t="str">
        <f>Grunduppgifter!A38</f>
        <v xml:space="preserve">Biofer 6-3-12 </v>
      </c>
      <c r="B133" s="168" t="s">
        <v>14</v>
      </c>
      <c r="C133" s="24">
        <f>Grunduppgifter!H90</f>
        <v>0</v>
      </c>
      <c r="D133" s="169"/>
      <c r="E133" s="31">
        <f>Grunduppgifter!B38</f>
        <v>5.1100000000000003</v>
      </c>
      <c r="F133" s="131">
        <f>C133*E133*(1+Grunduppgifter!$B$49)</f>
        <v>0</v>
      </c>
    </row>
    <row r="134" spans="1:6" x14ac:dyDescent="0.2">
      <c r="A134" s="130" t="s">
        <v>279</v>
      </c>
      <c r="B134" s="169"/>
      <c r="C134" s="169">
        <f>SUM(C131:C133)</f>
        <v>0</v>
      </c>
      <c r="D134" s="169"/>
      <c r="E134" s="4">
        <f>IF(C134=0,0,F134/C134)</f>
        <v>0</v>
      </c>
      <c r="F134" s="128">
        <f>SUM(F131:F133)</f>
        <v>0</v>
      </c>
    </row>
    <row r="135" spans="1:6" x14ac:dyDescent="0.2">
      <c r="A135" s="123"/>
      <c r="B135" s="169"/>
      <c r="C135" s="169"/>
      <c r="D135" s="169"/>
      <c r="E135" s="4"/>
      <c r="F135" s="128"/>
    </row>
    <row r="136" spans="1:6" x14ac:dyDescent="0.2">
      <c r="A136" s="173" t="s">
        <v>178</v>
      </c>
      <c r="B136" s="169"/>
      <c r="C136" s="169"/>
      <c r="D136" s="169"/>
      <c r="E136" s="4"/>
      <c r="F136" s="128"/>
    </row>
    <row r="137" spans="1:6" x14ac:dyDescent="0.2">
      <c r="A137" s="123" t="s">
        <v>177</v>
      </c>
      <c r="B137" s="168" t="s">
        <v>14</v>
      </c>
      <c r="C137" s="24">
        <f>Grunduppgifter!H85</f>
        <v>0</v>
      </c>
      <c r="D137" s="169"/>
      <c r="E137" s="31">
        <f>Grunduppgifter!B39</f>
        <v>4.5599999999999996</v>
      </c>
      <c r="F137" s="131">
        <f>C137*E137*(1+Grunduppgifter!$B$49)</f>
        <v>0</v>
      </c>
    </row>
    <row r="138" spans="1:6" x14ac:dyDescent="0.2">
      <c r="A138" s="130" t="s">
        <v>280</v>
      </c>
      <c r="B138" s="169"/>
      <c r="C138" s="169">
        <f>SUM(C137)</f>
        <v>0</v>
      </c>
      <c r="D138" s="169"/>
      <c r="E138" s="4">
        <f>IF(C138=0,0,F138/C138)</f>
        <v>0</v>
      </c>
      <c r="F138" s="128">
        <f>SUM(F137:F137)</f>
        <v>0</v>
      </c>
    </row>
    <row r="139" spans="1:6" x14ac:dyDescent="0.2">
      <c r="A139" s="123"/>
      <c r="B139" s="169"/>
      <c r="C139" s="169"/>
      <c r="D139" s="169"/>
      <c r="E139" s="169"/>
      <c r="F139" s="127"/>
    </row>
    <row r="140" spans="1:6" x14ac:dyDescent="0.2">
      <c r="A140" s="123"/>
      <c r="B140" s="169"/>
      <c r="C140" s="169"/>
      <c r="D140" s="169"/>
      <c r="E140" s="169"/>
      <c r="F140" s="127"/>
    </row>
    <row r="141" spans="1:6" x14ac:dyDescent="0.2">
      <c r="A141" s="173" t="s">
        <v>275</v>
      </c>
      <c r="B141" s="169"/>
      <c r="C141" s="169"/>
      <c r="D141" s="169"/>
      <c r="E141" s="169"/>
      <c r="F141" s="127"/>
    </row>
    <row r="142" spans="1:6" x14ac:dyDescent="0.2">
      <c r="A142" s="130"/>
      <c r="B142" s="168" t="s">
        <v>59</v>
      </c>
      <c r="C142" s="169"/>
      <c r="D142" s="169"/>
      <c r="E142" s="169"/>
      <c r="F142" s="131"/>
    </row>
    <row r="143" spans="1:6" x14ac:dyDescent="0.2">
      <c r="A143" s="132" t="s">
        <v>281</v>
      </c>
      <c r="B143" s="24"/>
      <c r="C143" s="24"/>
      <c r="D143" s="24"/>
      <c r="E143" s="24"/>
      <c r="F143" s="131">
        <f>SUM(F142)</f>
        <v>0</v>
      </c>
    </row>
    <row r="144" spans="1:6" x14ac:dyDescent="0.2">
      <c r="A144" s="169"/>
      <c r="B144" s="169"/>
      <c r="C144" s="169"/>
      <c r="D144" s="169"/>
      <c r="E144" s="169"/>
      <c r="F144" s="169"/>
    </row>
    <row r="145" spans="1:6" x14ac:dyDescent="0.2">
      <c r="A145" s="169"/>
      <c r="B145" s="169"/>
      <c r="C145" s="169"/>
      <c r="D145" s="169"/>
      <c r="E145" s="169"/>
      <c r="F145" s="169"/>
    </row>
    <row r="146" spans="1:6" x14ac:dyDescent="0.2">
      <c r="A146" s="174" t="s">
        <v>360</v>
      </c>
      <c r="B146" s="175" t="s">
        <v>354</v>
      </c>
      <c r="C146" s="175" t="s">
        <v>355</v>
      </c>
      <c r="D146" s="176" t="s">
        <v>356</v>
      </c>
      <c r="E146" s="169"/>
      <c r="F146" s="169"/>
    </row>
    <row r="147" spans="1:6" x14ac:dyDescent="0.2">
      <c r="A147" s="130" t="s">
        <v>385</v>
      </c>
      <c r="B147" s="169">
        <v>2.5</v>
      </c>
      <c r="C147" s="169">
        <v>0.4</v>
      </c>
      <c r="D147" s="127">
        <v>2.2000000000000002</v>
      </c>
      <c r="E147" s="169"/>
      <c r="F147" s="169"/>
    </row>
    <row r="148" spans="1:6" x14ac:dyDescent="0.2">
      <c r="A148" s="173" t="s">
        <v>362</v>
      </c>
      <c r="B148" s="169">
        <f>$C$4*B147/1000</f>
        <v>2.5</v>
      </c>
      <c r="C148" s="169">
        <f t="shared" ref="C148:D148" si="7">$C$4*C147/1000</f>
        <v>0.4</v>
      </c>
      <c r="D148" s="127">
        <f t="shared" si="7"/>
        <v>2.2000000000000002</v>
      </c>
      <c r="E148" s="169"/>
      <c r="F148" s="169"/>
    </row>
    <row r="149" spans="1:6" x14ac:dyDescent="0.2">
      <c r="A149" s="173" t="s">
        <v>363</v>
      </c>
      <c r="B149" s="169"/>
      <c r="C149" s="169"/>
      <c r="D149" s="127"/>
      <c r="E149" s="169"/>
      <c r="F149" s="169"/>
    </row>
    <row r="150" spans="1:6" x14ac:dyDescent="0.2">
      <c r="A150" s="123" t="str">
        <f>A18</f>
        <v>Stallgödsel</v>
      </c>
      <c r="B150" s="169">
        <f>C18*Grunduppgifter!B74</f>
        <v>2</v>
      </c>
      <c r="C150" s="169">
        <f>C18*Grunduppgifter!B75</f>
        <v>3</v>
      </c>
      <c r="D150" s="127">
        <f>C18*Grunduppgifter!B76</f>
        <v>10</v>
      </c>
      <c r="E150" s="169"/>
      <c r="F150" s="169"/>
    </row>
    <row r="151" spans="1:6" x14ac:dyDescent="0.2">
      <c r="A151" s="123" t="str">
        <f>Grunduppgifter!A36</f>
        <v xml:space="preserve">Biofer 10-3-1 </v>
      </c>
      <c r="B151" s="169">
        <f>Grunduppgifter!I74*C131</f>
        <v>0</v>
      </c>
      <c r="C151" s="169">
        <f>Grunduppgifter!I75*C131</f>
        <v>0</v>
      </c>
      <c r="D151" s="127">
        <f>Grunduppgifter!I76*C131</f>
        <v>0</v>
      </c>
      <c r="E151" s="169"/>
      <c r="F151" s="169"/>
    </row>
    <row r="152" spans="1:6" x14ac:dyDescent="0.2">
      <c r="A152" s="123" t="str">
        <f>Grunduppgifter!A37</f>
        <v>Biofer 9-3-4</v>
      </c>
      <c r="B152" s="169">
        <f>Grunduppgifter!J74*C132</f>
        <v>0</v>
      </c>
      <c r="C152" s="169">
        <f>Grunduppgifter!J75*C132</f>
        <v>0</v>
      </c>
      <c r="D152" s="127">
        <f>Grunduppgifter!J76*C132</f>
        <v>0</v>
      </c>
      <c r="E152" s="169"/>
      <c r="F152" s="169"/>
    </row>
    <row r="153" spans="1:6" x14ac:dyDescent="0.2">
      <c r="A153" s="123" t="str">
        <f>Grunduppgifter!A38</f>
        <v xml:space="preserve">Biofer 6-3-12 </v>
      </c>
      <c r="B153" s="169">
        <f>Grunduppgifter!K74*C133</f>
        <v>0</v>
      </c>
      <c r="C153" s="169">
        <f>Grunduppgifter!K75*C133</f>
        <v>0</v>
      </c>
      <c r="D153" s="127">
        <f>Grunduppgifter!K76*C133</f>
        <v>0</v>
      </c>
      <c r="E153" s="169"/>
      <c r="F153" s="169"/>
    </row>
    <row r="154" spans="1:6" x14ac:dyDescent="0.2">
      <c r="A154" s="123" t="str">
        <f>A137</f>
        <v>Kalimagnesia 25-6</v>
      </c>
      <c r="B154" s="169"/>
      <c r="C154" s="169"/>
      <c r="D154" s="127">
        <f>Grunduppgifter!F76*C137</f>
        <v>0</v>
      </c>
      <c r="E154" s="169"/>
      <c r="F154" s="169"/>
    </row>
    <row r="155" spans="1:6" x14ac:dyDescent="0.2">
      <c r="A155" s="123" t="s">
        <v>365</v>
      </c>
      <c r="B155" s="169">
        <f>'Gröngödsling 1'!C6*Grunduppgifter!H91</f>
        <v>2</v>
      </c>
      <c r="C155" s="169"/>
      <c r="D155" s="127"/>
      <c r="E155" s="169"/>
      <c r="F155" s="169"/>
    </row>
    <row r="156" spans="1:6" x14ac:dyDescent="0.2">
      <c r="A156" s="123" t="s">
        <v>366</v>
      </c>
      <c r="B156" s="169">
        <f>SUM(B150:B155)</f>
        <v>4</v>
      </c>
      <c r="C156" s="169">
        <f t="shared" ref="C156:D156" si="8">SUM(C150:C155)</f>
        <v>3</v>
      </c>
      <c r="D156" s="127">
        <f t="shared" si="8"/>
        <v>10</v>
      </c>
      <c r="E156" s="169"/>
      <c r="F156" s="169"/>
    </row>
    <row r="157" spans="1:6" x14ac:dyDescent="0.2">
      <c r="A157" s="177" t="s">
        <v>367</v>
      </c>
      <c r="B157" s="24">
        <f>B156-B148</f>
        <v>1.5</v>
      </c>
      <c r="C157" s="24">
        <f t="shared" ref="C157:D157" si="9">C156-C148</f>
        <v>2.6</v>
      </c>
      <c r="D157" s="178">
        <f t="shared" si="9"/>
        <v>7.8</v>
      </c>
      <c r="E157" s="169"/>
      <c r="F157" s="169"/>
    </row>
  </sheetData>
  <mergeCells count="2">
    <mergeCell ref="K3:S3"/>
    <mergeCell ref="K6:S6"/>
  </mergeCells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4389E-85F9-4599-9D66-431EE8E6D719}">
  <dimension ref="A1:U159"/>
  <sheetViews>
    <sheetView workbookViewId="0">
      <selection activeCell="D63" sqref="D63"/>
    </sheetView>
  </sheetViews>
  <sheetFormatPr defaultRowHeight="12.75" x14ac:dyDescent="0.2"/>
  <cols>
    <col min="1" max="1" width="35.42578125" style="148" customWidth="1"/>
    <col min="2" max="2" width="9.140625" style="148"/>
    <col min="3" max="4" width="12" style="148" bestFit="1" customWidth="1"/>
    <col min="5" max="5" width="11" style="148" bestFit="1" customWidth="1"/>
    <col min="6" max="6" width="12" style="148" bestFit="1" customWidth="1"/>
    <col min="7" max="7" width="11" style="148" bestFit="1" customWidth="1"/>
    <col min="8" max="8" width="9.140625" style="148"/>
    <col min="9" max="9" width="12" style="148" bestFit="1" customWidth="1"/>
    <col min="10" max="10" width="11" style="148" bestFit="1" customWidth="1"/>
    <col min="11" max="16384" width="9.140625" style="148"/>
  </cols>
  <sheetData>
    <row r="1" spans="1:21" ht="15.75" x14ac:dyDescent="0.25">
      <c r="A1" s="20" t="s">
        <v>219</v>
      </c>
      <c r="B1" s="20" t="s">
        <v>71</v>
      </c>
      <c r="C1" s="20"/>
      <c r="D1" s="20" t="s">
        <v>114</v>
      </c>
      <c r="E1" s="21"/>
      <c r="F1" s="20"/>
      <c r="G1" s="20"/>
      <c r="H1" s="21"/>
      <c r="I1" s="21"/>
      <c r="J1" s="21"/>
      <c r="K1" s="20" t="s">
        <v>309</v>
      </c>
      <c r="L1" s="21"/>
      <c r="M1" s="21"/>
      <c r="N1" s="21"/>
      <c r="O1" s="21"/>
      <c r="P1" s="21"/>
      <c r="Q1" s="21"/>
      <c r="R1" s="21"/>
      <c r="S1" s="21"/>
      <c r="T1" s="21"/>
      <c r="U1" s="21"/>
    </row>
    <row r="3" spans="1:21" x14ac:dyDescent="0.2">
      <c r="A3" s="62" t="s">
        <v>104</v>
      </c>
      <c r="C3" s="13">
        <v>1000</v>
      </c>
      <c r="D3" s="146" t="s">
        <v>283</v>
      </c>
      <c r="K3" s="222"/>
      <c r="L3" s="222"/>
      <c r="M3" s="222"/>
      <c r="N3" s="222"/>
      <c r="O3" s="222"/>
      <c r="P3" s="222"/>
      <c r="Q3" s="222"/>
      <c r="R3" s="222"/>
      <c r="S3" s="222"/>
    </row>
    <row r="4" spans="1:21" x14ac:dyDescent="0.2">
      <c r="A4" s="62" t="s">
        <v>4</v>
      </c>
      <c r="C4" s="13">
        <f>Grunduppgifter!C13</f>
        <v>600</v>
      </c>
      <c r="D4" s="146" t="s">
        <v>271</v>
      </c>
    </row>
    <row r="5" spans="1:21" x14ac:dyDescent="0.2">
      <c r="A5" s="62" t="s">
        <v>96</v>
      </c>
      <c r="C5" s="2">
        <f>Grunduppgifter!D13</f>
        <v>0.95</v>
      </c>
    </row>
    <row r="6" spans="1:21" x14ac:dyDescent="0.2">
      <c r="B6" s="146"/>
      <c r="C6" s="3"/>
      <c r="K6" s="223"/>
      <c r="L6" s="224"/>
      <c r="M6" s="224"/>
      <c r="N6" s="224"/>
      <c r="O6" s="224"/>
      <c r="P6" s="224"/>
      <c r="Q6" s="224"/>
      <c r="R6" s="224"/>
      <c r="S6" s="224"/>
    </row>
    <row r="7" spans="1:21" x14ac:dyDescent="0.2">
      <c r="A7" s="24"/>
      <c r="B7" s="30" t="s">
        <v>122</v>
      </c>
      <c r="C7" s="49" t="s">
        <v>6</v>
      </c>
      <c r="D7" s="49" t="s">
        <v>115</v>
      </c>
      <c r="E7" s="49" t="s">
        <v>7</v>
      </c>
      <c r="F7" s="24"/>
      <c r="G7" s="24"/>
      <c r="H7" s="30" t="s">
        <v>124</v>
      </c>
      <c r="I7" s="147"/>
      <c r="J7" s="3"/>
    </row>
    <row r="8" spans="1:21" x14ac:dyDescent="0.2">
      <c r="A8" s="147" t="s">
        <v>5</v>
      </c>
      <c r="B8" s="3"/>
      <c r="C8" s="10"/>
      <c r="D8" s="10"/>
      <c r="E8" s="10"/>
      <c r="H8" s="3"/>
      <c r="I8" s="3"/>
      <c r="J8" s="3"/>
    </row>
    <row r="9" spans="1:21" x14ac:dyDescent="0.2">
      <c r="A9" s="148" t="s">
        <v>388</v>
      </c>
      <c r="B9" s="148" t="s">
        <v>14</v>
      </c>
      <c r="C9" s="39">
        <f>C4*C5</f>
        <v>570</v>
      </c>
      <c r="D9" s="106">
        <f>(E67+E72-E10)/C9</f>
        <v>168.71359875123531</v>
      </c>
      <c r="E9" s="13">
        <f>C9*D9</f>
        <v>96166.751288204134</v>
      </c>
      <c r="H9" s="192" t="s">
        <v>116</v>
      </c>
      <c r="J9" s="12"/>
    </row>
    <row r="10" spans="1:21" x14ac:dyDescent="0.2">
      <c r="A10" s="24" t="s">
        <v>61</v>
      </c>
      <c r="B10" s="24"/>
      <c r="C10" s="24">
        <v>0.1</v>
      </c>
      <c r="D10" s="35">
        <f>Grunduppgifter!B61</f>
        <v>5000</v>
      </c>
      <c r="E10" s="26">
        <f>C10*D10</f>
        <v>500</v>
      </c>
      <c r="F10" s="24"/>
      <c r="G10" s="24"/>
      <c r="H10" s="24"/>
      <c r="J10" s="12"/>
    </row>
    <row r="11" spans="1:21" x14ac:dyDescent="0.2">
      <c r="A11" s="147" t="s">
        <v>118</v>
      </c>
      <c r="B11" s="147"/>
      <c r="C11" s="147"/>
      <c r="D11" s="44"/>
      <c r="E11" s="39">
        <f>SUM(E9:E10)</f>
        <v>96666.751288204134</v>
      </c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T11" s="147"/>
      <c r="U11" s="147"/>
    </row>
    <row r="12" spans="1:21" x14ac:dyDescent="0.2">
      <c r="D12" s="4"/>
      <c r="E12" s="9"/>
    </row>
    <row r="13" spans="1:21" x14ac:dyDescent="0.2">
      <c r="A13" s="147" t="s">
        <v>220</v>
      </c>
      <c r="D13" s="4"/>
      <c r="E13" s="9"/>
    </row>
    <row r="14" spans="1:21" x14ac:dyDescent="0.2">
      <c r="A14" s="146" t="s">
        <v>221</v>
      </c>
      <c r="B14" s="148" t="s">
        <v>11</v>
      </c>
      <c r="C14" s="148">
        <f>D91</f>
        <v>25</v>
      </c>
      <c r="D14" s="9">
        <f>Grunduppgifter!B25</f>
        <v>283</v>
      </c>
      <c r="E14" s="13">
        <f t="shared" ref="E14:E34" si="0">C14*D14</f>
        <v>7075</v>
      </c>
      <c r="H14" s="148" t="s">
        <v>272</v>
      </c>
      <c r="O14" s="4"/>
      <c r="P14" s="4"/>
    </row>
    <row r="15" spans="1:21" x14ac:dyDescent="0.2">
      <c r="A15" s="146" t="s">
        <v>222</v>
      </c>
      <c r="B15" s="148" t="s">
        <v>11</v>
      </c>
      <c r="C15" s="148">
        <f>C91</f>
        <v>70</v>
      </c>
      <c r="D15" s="9">
        <f>Grunduppgifter!B26</f>
        <v>186</v>
      </c>
      <c r="E15" s="13">
        <f t="shared" si="0"/>
        <v>13020</v>
      </c>
      <c r="H15" s="148" t="s">
        <v>272</v>
      </c>
    </row>
    <row r="16" spans="1:21" x14ac:dyDescent="0.2">
      <c r="A16" s="148" t="s">
        <v>65</v>
      </c>
      <c r="B16" s="148" t="s">
        <v>14</v>
      </c>
      <c r="C16" s="107">
        <v>3</v>
      </c>
      <c r="D16" s="13">
        <v>370</v>
      </c>
      <c r="E16" s="13">
        <f t="shared" si="0"/>
        <v>1110</v>
      </c>
      <c r="J16" s="4"/>
      <c r="M16" s="13"/>
      <c r="N16" s="13"/>
      <c r="O16" s="13"/>
      <c r="P16" s="13"/>
      <c r="Q16" s="13"/>
    </row>
    <row r="17" spans="1:17" s="199" customFormat="1" x14ac:dyDescent="0.2">
      <c r="A17" s="166" t="s">
        <v>13</v>
      </c>
      <c r="B17" s="199" t="s">
        <v>283</v>
      </c>
      <c r="C17" s="96">
        <v>600</v>
      </c>
      <c r="D17" s="116">
        <f>Grunduppgifter!B33</f>
        <v>1.2</v>
      </c>
      <c r="E17" s="13">
        <f t="shared" si="0"/>
        <v>720</v>
      </c>
      <c r="J17" s="4"/>
      <c r="M17" s="13"/>
      <c r="N17" s="13"/>
      <c r="O17" s="13"/>
      <c r="P17" s="13"/>
      <c r="Q17" s="13"/>
    </row>
    <row r="18" spans="1:17" x14ac:dyDescent="0.2">
      <c r="A18" s="154" t="s">
        <v>72</v>
      </c>
      <c r="B18" s="153" t="s">
        <v>311</v>
      </c>
      <c r="C18" s="96">
        <v>700</v>
      </c>
      <c r="D18" s="4">
        <v>5.35</v>
      </c>
      <c r="E18" s="13">
        <f t="shared" si="0"/>
        <v>3744.9999999999995</v>
      </c>
      <c r="M18" s="13"/>
      <c r="N18" s="13"/>
      <c r="O18" s="13"/>
      <c r="P18" s="13"/>
      <c r="Q18" s="13"/>
    </row>
    <row r="19" spans="1:17" x14ac:dyDescent="0.2">
      <c r="A19" s="150" t="str">
        <f>Grunduppgifter!A35</f>
        <v>Stallgödsel</v>
      </c>
      <c r="B19" s="148" t="s">
        <v>14</v>
      </c>
      <c r="C19" s="13">
        <f>Grunduppgifter!I81</f>
        <v>2000</v>
      </c>
      <c r="D19" s="4">
        <f>Grunduppgifter!B35</f>
        <v>0.2</v>
      </c>
      <c r="E19" s="13">
        <f t="shared" si="0"/>
        <v>400</v>
      </c>
    </row>
    <row r="20" spans="1:17" x14ac:dyDescent="0.2">
      <c r="A20" s="148" t="s">
        <v>67</v>
      </c>
      <c r="C20" s="148">
        <v>1</v>
      </c>
      <c r="D20" s="13">
        <f>Grunduppgifter!B63</f>
        <v>1025.9546363636364</v>
      </c>
      <c r="E20" s="13">
        <f t="shared" si="0"/>
        <v>1025.9546363636364</v>
      </c>
      <c r="H20" s="148" t="s">
        <v>273</v>
      </c>
    </row>
    <row r="21" spans="1:17" x14ac:dyDescent="0.2">
      <c r="A21" s="148" t="s">
        <v>274</v>
      </c>
      <c r="C21" s="169">
        <f>C136</f>
        <v>0</v>
      </c>
      <c r="D21" s="4">
        <f>E136</f>
        <v>0</v>
      </c>
      <c r="E21" s="13">
        <f t="shared" si="0"/>
        <v>0</v>
      </c>
    </row>
    <row r="22" spans="1:17" x14ac:dyDescent="0.2">
      <c r="A22" s="146" t="s">
        <v>178</v>
      </c>
      <c r="C22" s="169">
        <f>C140</f>
        <v>0</v>
      </c>
      <c r="D22" s="4">
        <f>E140</f>
        <v>0</v>
      </c>
      <c r="E22" s="13">
        <f t="shared" si="0"/>
        <v>0</v>
      </c>
    </row>
    <row r="23" spans="1:17" x14ac:dyDescent="0.2">
      <c r="A23" s="146" t="s">
        <v>275</v>
      </c>
      <c r="C23" s="169">
        <v>1</v>
      </c>
      <c r="D23" s="4">
        <f>F143</f>
        <v>0</v>
      </c>
      <c r="E23" s="13">
        <f t="shared" si="0"/>
        <v>0</v>
      </c>
    </row>
    <row r="24" spans="1:17" x14ac:dyDescent="0.2">
      <c r="A24" s="148" t="s">
        <v>119</v>
      </c>
      <c r="B24" s="148" t="s">
        <v>11</v>
      </c>
      <c r="C24" s="148">
        <f>SUM(F80:F90)</f>
        <v>4</v>
      </c>
      <c r="D24" s="4">
        <f>Grunduppgifter!B30</f>
        <v>100</v>
      </c>
      <c r="E24" s="13">
        <f t="shared" si="0"/>
        <v>400</v>
      </c>
    </row>
    <row r="25" spans="1:17" x14ac:dyDescent="0.2">
      <c r="A25" s="148" t="s">
        <v>15</v>
      </c>
      <c r="B25" s="148" t="s">
        <v>16</v>
      </c>
      <c r="C25" s="107">
        <v>60</v>
      </c>
      <c r="D25" s="4">
        <f>Grunduppgifter!B31</f>
        <v>0.96</v>
      </c>
      <c r="E25" s="13">
        <f t="shared" si="0"/>
        <v>57.599999999999994</v>
      </c>
    </row>
    <row r="26" spans="1:17" x14ac:dyDescent="0.2">
      <c r="A26" s="148" t="s">
        <v>100</v>
      </c>
      <c r="B26" s="148" t="s">
        <v>14</v>
      </c>
      <c r="C26" s="107">
        <v>0</v>
      </c>
      <c r="D26" s="4">
        <f>Grunduppgifter!B32</f>
        <v>25</v>
      </c>
      <c r="E26" s="13">
        <f t="shared" si="0"/>
        <v>0</v>
      </c>
    </row>
    <row r="27" spans="1:17" x14ac:dyDescent="0.2">
      <c r="A27" s="149" t="str">
        <f>Grunduppgifter!A46</f>
        <v>Analyser</v>
      </c>
      <c r="B27" s="148" t="s">
        <v>12</v>
      </c>
      <c r="C27" s="107">
        <v>0.1</v>
      </c>
      <c r="D27" s="4">
        <f>Grunduppgifter!B46</f>
        <v>400</v>
      </c>
      <c r="E27" s="13">
        <f t="shared" si="0"/>
        <v>40</v>
      </c>
    </row>
    <row r="28" spans="1:17" x14ac:dyDescent="0.2">
      <c r="A28" s="29" t="str">
        <f>Grunduppgifter!A69</f>
        <v>Ränta rörelsekapital</v>
      </c>
      <c r="B28" s="24" t="s">
        <v>20</v>
      </c>
      <c r="C28" s="26">
        <f>SUM(E14:E27)</f>
        <v>27593.554636363635</v>
      </c>
      <c r="D28" s="108">
        <f>Grunduppgifter!B69</f>
        <v>0.02</v>
      </c>
      <c r="E28" s="26">
        <f t="shared" si="0"/>
        <v>551.87109272727275</v>
      </c>
      <c r="F28" s="24"/>
      <c r="G28" s="24"/>
      <c r="H28" s="24"/>
    </row>
    <row r="29" spans="1:17" x14ac:dyDescent="0.2">
      <c r="A29" s="147" t="s">
        <v>224</v>
      </c>
      <c r="D29" s="4"/>
      <c r="E29" s="39">
        <f>SUM(E14:E28)</f>
        <v>28145.425729090908</v>
      </c>
    </row>
    <row r="30" spans="1:17" x14ac:dyDescent="0.2">
      <c r="A30" s="147"/>
      <c r="D30" s="4"/>
      <c r="E30" s="39"/>
    </row>
    <row r="31" spans="1:17" x14ac:dyDescent="0.2">
      <c r="A31" s="146" t="s">
        <v>276</v>
      </c>
      <c r="C31" s="148">
        <v>0.1</v>
      </c>
      <c r="D31" s="13">
        <f>'Maskiner 1'!F32</f>
        <v>24747.136173216168</v>
      </c>
      <c r="E31" s="13">
        <f t="shared" si="0"/>
        <v>2474.7136173216168</v>
      </c>
    </row>
    <row r="32" spans="1:17" x14ac:dyDescent="0.2">
      <c r="A32" s="146" t="s">
        <v>225</v>
      </c>
      <c r="C32" s="148">
        <v>0.1</v>
      </c>
      <c r="D32" s="13">
        <f>'Maskiner 1'!K30/2</f>
        <v>7115.6718125290399</v>
      </c>
      <c r="E32" s="13">
        <f t="shared" si="0"/>
        <v>711.56718125290399</v>
      </c>
    </row>
    <row r="33" spans="1:21" x14ac:dyDescent="0.2">
      <c r="A33" s="148" t="s">
        <v>25</v>
      </c>
      <c r="C33" s="148">
        <v>0.1</v>
      </c>
      <c r="D33" s="13">
        <f>Grunduppgifter!B60</f>
        <v>6000</v>
      </c>
      <c r="E33" s="13">
        <f t="shared" si="0"/>
        <v>600</v>
      </c>
    </row>
    <row r="34" spans="1:21" x14ac:dyDescent="0.2">
      <c r="A34" s="29" t="s">
        <v>399</v>
      </c>
      <c r="B34" s="24"/>
      <c r="C34" s="31">
        <f>0.1/Grunduppgifter!B20</f>
        <v>3.3333333333333333E-2</v>
      </c>
      <c r="D34" s="26">
        <f>Grunduppgifter!B64</f>
        <v>4500</v>
      </c>
      <c r="E34" s="26">
        <f t="shared" si="0"/>
        <v>150</v>
      </c>
      <c r="F34" s="24"/>
      <c r="G34" s="24"/>
      <c r="H34" s="24"/>
    </row>
    <row r="35" spans="1:21" x14ac:dyDescent="0.2">
      <c r="A35" s="147" t="s">
        <v>226</v>
      </c>
      <c r="D35" s="4"/>
      <c r="E35" s="13">
        <f>SUM(E31:E34)</f>
        <v>3936.2807985745208</v>
      </c>
    </row>
    <row r="36" spans="1:21" x14ac:dyDescent="0.2">
      <c r="A36" s="147" t="s">
        <v>227</v>
      </c>
      <c r="D36" s="4"/>
      <c r="E36" s="39">
        <f>SUM(E29:E34)</f>
        <v>32081.706527665428</v>
      </c>
    </row>
    <row r="37" spans="1:21" x14ac:dyDescent="0.2">
      <c r="A37" s="147"/>
      <c r="D37" s="4"/>
      <c r="E37" s="13"/>
    </row>
    <row r="38" spans="1:21" x14ac:dyDescent="0.2">
      <c r="A38" s="147" t="s">
        <v>36</v>
      </c>
      <c r="D38" s="4"/>
      <c r="E38" s="13"/>
    </row>
    <row r="39" spans="1:21" x14ac:dyDescent="0.2">
      <c r="A39" s="146" t="s">
        <v>221</v>
      </c>
      <c r="B39" s="148" t="s">
        <v>11</v>
      </c>
      <c r="C39" s="9">
        <f>D93</f>
        <v>20</v>
      </c>
      <c r="D39" s="9">
        <f>Grunduppgifter!B25</f>
        <v>283</v>
      </c>
      <c r="E39" s="13">
        <f>C39*D39</f>
        <v>5660</v>
      </c>
      <c r="H39" s="148" t="s">
        <v>272</v>
      </c>
    </row>
    <row r="40" spans="1:21" x14ac:dyDescent="0.2">
      <c r="A40" s="146" t="s">
        <v>222</v>
      </c>
      <c r="B40" s="148" t="s">
        <v>11</v>
      </c>
      <c r="C40" s="9">
        <f>C93</f>
        <v>180</v>
      </c>
      <c r="D40" s="9">
        <f>Grunduppgifter!B26</f>
        <v>186</v>
      </c>
      <c r="E40" s="13">
        <f>C40*D40</f>
        <v>33480</v>
      </c>
      <c r="F40" s="13"/>
    </row>
    <row r="41" spans="1:21" x14ac:dyDescent="0.2">
      <c r="A41" s="148" t="s">
        <v>228</v>
      </c>
      <c r="C41" s="148">
        <v>0.1</v>
      </c>
      <c r="D41" s="13"/>
      <c r="E41" s="13">
        <f>C41*D41</f>
        <v>0</v>
      </c>
    </row>
    <row r="42" spans="1:21" x14ac:dyDescent="0.2">
      <c r="A42" s="29" t="s">
        <v>229</v>
      </c>
      <c r="B42" s="24" t="s">
        <v>11</v>
      </c>
      <c r="C42" s="26">
        <f>SUM(F93:F95)</f>
        <v>6.6666666666666661</v>
      </c>
      <c r="D42" s="26">
        <f>Grunduppgifter!B30</f>
        <v>100</v>
      </c>
      <c r="E42" s="26">
        <f>C42*D42</f>
        <v>666.66666666666663</v>
      </c>
      <c r="F42" s="24"/>
      <c r="G42" s="24"/>
      <c r="H42" s="24"/>
    </row>
    <row r="43" spans="1:21" x14ac:dyDescent="0.2">
      <c r="A43" s="147" t="s">
        <v>230</v>
      </c>
      <c r="B43" s="147"/>
      <c r="C43" s="147"/>
      <c r="D43" s="147"/>
      <c r="E43" s="39">
        <f>SUM(E39:E42)</f>
        <v>39806.666666666664</v>
      </c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T43" s="147"/>
      <c r="U43" s="147"/>
    </row>
    <row r="44" spans="1:21" x14ac:dyDescent="0.2">
      <c r="A44" s="147"/>
      <c r="B44" s="147"/>
      <c r="C44" s="147"/>
      <c r="D44" s="147"/>
      <c r="E44" s="39"/>
      <c r="F44" s="147"/>
      <c r="G44" s="147"/>
      <c r="H44" s="147"/>
      <c r="I44" s="147"/>
      <c r="J44" s="147"/>
      <c r="M44" s="4"/>
      <c r="N44" s="4"/>
      <c r="O44" s="4"/>
      <c r="P44" s="4"/>
      <c r="Q44" s="4"/>
      <c r="R44" s="147"/>
      <c r="T44" s="147"/>
      <c r="U44" s="147"/>
    </row>
    <row r="45" spans="1:21" x14ac:dyDescent="0.2">
      <c r="A45" s="147" t="s">
        <v>231</v>
      </c>
      <c r="B45" s="147"/>
      <c r="C45" s="147"/>
      <c r="D45" s="147"/>
      <c r="E45" s="39"/>
      <c r="F45" s="147"/>
      <c r="G45" s="147"/>
      <c r="H45" s="147"/>
      <c r="I45" s="147"/>
      <c r="J45" s="147"/>
      <c r="M45" s="4"/>
      <c r="N45" s="4"/>
      <c r="O45" s="4"/>
      <c r="P45" s="4"/>
      <c r="Q45" s="4"/>
      <c r="R45" s="147"/>
      <c r="T45" s="147"/>
      <c r="U45" s="147"/>
    </row>
    <row r="46" spans="1:21" x14ac:dyDescent="0.2">
      <c r="A46" s="146" t="s">
        <v>232</v>
      </c>
      <c r="B46" s="148" t="s">
        <v>11</v>
      </c>
      <c r="C46" s="148">
        <f>D94</f>
        <v>0</v>
      </c>
      <c r="D46" s="9">
        <f>Grunduppgifter!B25</f>
        <v>283</v>
      </c>
      <c r="E46" s="13">
        <f>C46*D46</f>
        <v>0</v>
      </c>
      <c r="I46" s="147"/>
      <c r="J46" s="147"/>
      <c r="M46" s="4"/>
      <c r="N46" s="4"/>
      <c r="O46" s="4"/>
      <c r="P46" s="4"/>
      <c r="Q46" s="4"/>
      <c r="R46" s="147"/>
      <c r="T46" s="147"/>
      <c r="U46" s="147"/>
    </row>
    <row r="47" spans="1:21" x14ac:dyDescent="0.2">
      <c r="A47" s="146" t="s">
        <v>58</v>
      </c>
      <c r="B47" s="148" t="s">
        <v>16</v>
      </c>
      <c r="C47" s="96">
        <v>0</v>
      </c>
      <c r="D47" s="4">
        <f>Grunduppgifter!B31</f>
        <v>0.96</v>
      </c>
      <c r="E47" s="13">
        <f>D47*C47</f>
        <v>0</v>
      </c>
      <c r="I47" s="147"/>
      <c r="J47" s="147"/>
      <c r="M47" s="4"/>
      <c r="N47" s="4"/>
      <c r="O47" s="4"/>
      <c r="P47" s="4"/>
      <c r="Q47" s="4"/>
      <c r="R47" s="147"/>
      <c r="T47" s="147"/>
      <c r="U47" s="147"/>
    </row>
    <row r="48" spans="1:21" x14ac:dyDescent="0.2">
      <c r="A48" s="148" t="s">
        <v>233</v>
      </c>
      <c r="C48" s="136">
        <v>0</v>
      </c>
      <c r="D48" s="13">
        <f>'Maskiner 1'!K30/2</f>
        <v>7115.6718125290399</v>
      </c>
      <c r="E48" s="13">
        <f>D48*C48</f>
        <v>0</v>
      </c>
      <c r="I48" s="147"/>
      <c r="J48" s="147"/>
      <c r="M48" s="4"/>
      <c r="N48" s="4"/>
      <c r="O48" s="4"/>
      <c r="P48" s="4"/>
      <c r="Q48" s="4"/>
      <c r="R48" s="147"/>
      <c r="T48" s="147"/>
      <c r="U48" s="147"/>
    </row>
    <row r="49" spans="1:21" x14ac:dyDescent="0.2">
      <c r="A49" s="24" t="str">
        <f>Grunduppgifter!A47</f>
        <v>Lagerlådor</v>
      </c>
      <c r="B49" s="27" t="s">
        <v>14</v>
      </c>
      <c r="C49" s="26">
        <v>0</v>
      </c>
      <c r="D49" s="31">
        <f>Grunduppgifter!B47</f>
        <v>0.12</v>
      </c>
      <c r="E49" s="26">
        <f>D49*C49</f>
        <v>0</v>
      </c>
      <c r="F49" s="24"/>
      <c r="G49" s="24"/>
      <c r="H49" s="24"/>
      <c r="I49" s="147"/>
      <c r="J49" s="147"/>
      <c r="M49" s="4"/>
      <c r="N49" s="4"/>
      <c r="O49" s="4"/>
      <c r="P49" s="4"/>
      <c r="Q49" s="4"/>
      <c r="R49" s="147"/>
      <c r="T49" s="147"/>
      <c r="U49" s="147"/>
    </row>
    <row r="50" spans="1:21" x14ac:dyDescent="0.2">
      <c r="A50" s="147" t="s">
        <v>234</v>
      </c>
      <c r="C50" s="13"/>
      <c r="D50" s="4"/>
      <c r="E50" s="39">
        <f>SUM(E46:E49)</f>
        <v>0</v>
      </c>
      <c r="I50" s="147"/>
      <c r="J50" s="147"/>
      <c r="M50" s="4"/>
      <c r="N50" s="4"/>
      <c r="O50" s="4"/>
      <c r="P50" s="4"/>
      <c r="Q50" s="4"/>
      <c r="R50" s="147"/>
      <c r="T50" s="147"/>
      <c r="U50" s="147"/>
    </row>
    <row r="51" spans="1:21" x14ac:dyDescent="0.2">
      <c r="A51" s="146"/>
      <c r="C51" s="13"/>
      <c r="D51" s="4"/>
      <c r="E51" s="13"/>
      <c r="I51" s="147"/>
      <c r="J51" s="147"/>
      <c r="M51" s="4"/>
      <c r="N51" s="4"/>
      <c r="O51" s="4"/>
      <c r="P51" s="4"/>
      <c r="Q51" s="4"/>
      <c r="R51" s="147"/>
      <c r="T51" s="147"/>
      <c r="U51" s="147"/>
    </row>
    <row r="52" spans="1:21" x14ac:dyDescent="0.2">
      <c r="A52" s="147" t="s">
        <v>235</v>
      </c>
      <c r="C52" s="13"/>
      <c r="D52" s="4"/>
      <c r="E52" s="13"/>
      <c r="I52" s="147"/>
      <c r="J52" s="147"/>
      <c r="M52" s="4"/>
      <c r="N52" s="4"/>
      <c r="O52" s="4"/>
      <c r="P52" s="4"/>
      <c r="Q52" s="4"/>
      <c r="R52" s="147"/>
      <c r="T52" s="147"/>
      <c r="U52" s="147"/>
    </row>
    <row r="53" spans="1:21" x14ac:dyDescent="0.2">
      <c r="A53" s="146" t="s">
        <v>221</v>
      </c>
      <c r="B53" s="148" t="s">
        <v>11</v>
      </c>
      <c r="C53" s="148">
        <f>D95</f>
        <v>0</v>
      </c>
      <c r="D53" s="9">
        <f>Grunduppgifter!B25</f>
        <v>283</v>
      </c>
      <c r="E53" s="13">
        <f>C53*D53</f>
        <v>0</v>
      </c>
      <c r="I53" s="147"/>
      <c r="J53" s="147"/>
      <c r="M53" s="4"/>
      <c r="N53" s="4"/>
      <c r="O53" s="4"/>
      <c r="P53" s="4"/>
      <c r="Q53" s="4"/>
      <c r="R53" s="147"/>
      <c r="T53" s="147"/>
      <c r="U53" s="147"/>
    </row>
    <row r="54" spans="1:21" x14ac:dyDescent="0.2">
      <c r="A54" s="146" t="s">
        <v>222</v>
      </c>
      <c r="B54" s="148" t="s">
        <v>11</v>
      </c>
      <c r="C54" s="148">
        <f>C95</f>
        <v>0</v>
      </c>
      <c r="D54" s="9">
        <f>Grunduppgifter!B26</f>
        <v>186</v>
      </c>
      <c r="E54" s="13">
        <f>C54*D54</f>
        <v>0</v>
      </c>
      <c r="I54" s="147"/>
      <c r="J54" s="147"/>
      <c r="M54" s="4"/>
      <c r="N54" s="4"/>
      <c r="O54" s="4"/>
      <c r="P54" s="4"/>
      <c r="Q54" s="4"/>
      <c r="R54" s="147"/>
      <c r="T54" s="147"/>
      <c r="U54" s="147"/>
    </row>
    <row r="55" spans="1:21" x14ac:dyDescent="0.2">
      <c r="A55" s="148" t="s">
        <v>267</v>
      </c>
      <c r="C55" s="148">
        <v>0.1</v>
      </c>
      <c r="D55" s="13"/>
      <c r="E55" s="13">
        <f>C55*D55</f>
        <v>0</v>
      </c>
      <c r="I55" s="147"/>
      <c r="J55" s="147"/>
      <c r="M55" s="4"/>
      <c r="N55" s="4"/>
      <c r="O55" s="4"/>
      <c r="P55" s="4"/>
      <c r="Q55" s="4"/>
      <c r="R55" s="147"/>
      <c r="T55" s="147"/>
      <c r="U55" s="147"/>
    </row>
    <row r="56" spans="1:21" x14ac:dyDescent="0.2">
      <c r="A56" s="146" t="s">
        <v>236</v>
      </c>
      <c r="C56" s="148">
        <v>0.1</v>
      </c>
      <c r="D56" s="13">
        <f>'Maskiner 1'!J30</f>
        <v>6566.3263932658247</v>
      </c>
      <c r="E56" s="13">
        <f>C56*D56</f>
        <v>656.63263932658253</v>
      </c>
      <c r="I56" s="147"/>
      <c r="J56" s="147"/>
      <c r="M56" s="4"/>
      <c r="N56" s="4"/>
      <c r="O56" s="4"/>
      <c r="P56" s="4"/>
      <c r="Q56" s="4"/>
      <c r="R56" s="147"/>
      <c r="T56" s="147"/>
      <c r="U56" s="147"/>
    </row>
    <row r="57" spans="1:21" x14ac:dyDescent="0.2">
      <c r="A57" s="146" t="s">
        <v>237</v>
      </c>
      <c r="B57" s="148" t="s">
        <v>16</v>
      </c>
      <c r="C57" s="96">
        <v>100</v>
      </c>
      <c r="D57" s="4">
        <f>Grunduppgifter!B31</f>
        <v>0.96</v>
      </c>
      <c r="E57" s="13">
        <f>D57*C57</f>
        <v>96</v>
      </c>
      <c r="I57" s="147"/>
      <c r="J57" s="147"/>
      <c r="M57" s="4"/>
      <c r="N57" s="4"/>
      <c r="O57" s="4"/>
      <c r="P57" s="4"/>
      <c r="Q57" s="4"/>
      <c r="R57" s="147"/>
      <c r="T57" s="147"/>
      <c r="U57" s="147"/>
    </row>
    <row r="58" spans="1:21" x14ac:dyDescent="0.2">
      <c r="A58" s="146" t="s">
        <v>268</v>
      </c>
      <c r="B58" s="148" t="s">
        <v>269</v>
      </c>
      <c r="C58" s="13">
        <f>C9</f>
        <v>570</v>
      </c>
      <c r="D58" s="4">
        <v>0</v>
      </c>
      <c r="E58" s="13">
        <f>C58*D58</f>
        <v>0</v>
      </c>
      <c r="I58" s="147"/>
      <c r="J58" s="147"/>
      <c r="M58" s="4"/>
      <c r="N58" s="4"/>
      <c r="O58" s="4"/>
      <c r="P58" s="4"/>
      <c r="Q58" s="4"/>
      <c r="R58" s="147"/>
      <c r="T58" s="147"/>
      <c r="U58" s="147"/>
    </row>
    <row r="59" spans="1:21" x14ac:dyDescent="0.2">
      <c r="A59" s="29" t="s">
        <v>308</v>
      </c>
      <c r="B59" s="24" t="s">
        <v>120</v>
      </c>
      <c r="C59" s="26">
        <f>C9/10</f>
        <v>57</v>
      </c>
      <c r="D59" s="31">
        <v>1.6</v>
      </c>
      <c r="E59" s="26">
        <f>C59*D59</f>
        <v>91.2</v>
      </c>
      <c r="F59" s="24"/>
      <c r="G59" s="24"/>
      <c r="H59" s="24"/>
      <c r="I59" s="147"/>
      <c r="J59" s="147"/>
      <c r="M59" s="4"/>
      <c r="N59" s="4"/>
      <c r="O59" s="4"/>
      <c r="P59" s="4"/>
      <c r="Q59" s="4"/>
      <c r="R59" s="147"/>
      <c r="T59" s="147"/>
      <c r="U59" s="147"/>
    </row>
    <row r="60" spans="1:21" x14ac:dyDescent="0.2">
      <c r="A60" s="147" t="s">
        <v>238</v>
      </c>
      <c r="C60" s="13"/>
      <c r="D60" s="4"/>
      <c r="E60" s="39">
        <f>SUM(E53:E59)</f>
        <v>843.83263932658258</v>
      </c>
      <c r="I60" s="147"/>
      <c r="J60" s="147"/>
      <c r="M60" s="4"/>
      <c r="N60" s="4"/>
      <c r="O60" s="4"/>
      <c r="P60" s="4"/>
      <c r="Q60" s="4"/>
      <c r="R60" s="147"/>
      <c r="T60" s="147"/>
      <c r="U60" s="147"/>
    </row>
    <row r="61" spans="1:21" x14ac:dyDescent="0.2">
      <c r="A61" s="146"/>
      <c r="C61" s="13"/>
      <c r="D61" s="4"/>
      <c r="E61" s="13"/>
      <c r="I61" s="147"/>
      <c r="J61" s="147"/>
      <c r="M61" s="4"/>
      <c r="N61" s="4"/>
      <c r="O61" s="4"/>
      <c r="P61" s="4"/>
      <c r="Q61" s="4"/>
      <c r="R61" s="147"/>
      <c r="T61" s="147"/>
      <c r="U61" s="147"/>
    </row>
    <row r="62" spans="1:21" x14ac:dyDescent="0.2">
      <c r="A62" s="147" t="s">
        <v>131</v>
      </c>
      <c r="C62" s="13"/>
      <c r="D62" s="4"/>
      <c r="E62" s="13"/>
      <c r="I62" s="147"/>
      <c r="J62" s="147"/>
      <c r="M62" s="4"/>
      <c r="N62" s="4"/>
      <c r="O62" s="4"/>
      <c r="P62" s="4"/>
      <c r="Q62" s="4"/>
      <c r="R62" s="147"/>
      <c r="T62" s="147"/>
      <c r="U62" s="147"/>
    </row>
    <row r="63" spans="1:21" x14ac:dyDescent="0.2">
      <c r="A63" s="148" t="s">
        <v>19</v>
      </c>
      <c r="B63" s="146"/>
      <c r="C63" s="13">
        <v>1</v>
      </c>
      <c r="D63" s="9">
        <f>Grunduppgifter!B58</f>
        <v>1500</v>
      </c>
      <c r="E63" s="13">
        <f>C63*D63</f>
        <v>1500</v>
      </c>
      <c r="F63" s="13"/>
      <c r="H63" s="148" t="s">
        <v>139</v>
      </c>
      <c r="I63" s="147"/>
      <c r="J63" s="147"/>
      <c r="M63" s="4"/>
      <c r="N63" s="4"/>
      <c r="O63" s="4"/>
      <c r="P63" s="4"/>
      <c r="Q63" s="4"/>
      <c r="R63" s="147"/>
      <c r="T63" s="147"/>
      <c r="U63" s="147"/>
    </row>
    <row r="64" spans="1:21" x14ac:dyDescent="0.2">
      <c r="A64" s="24" t="s">
        <v>134</v>
      </c>
      <c r="B64" s="109" t="s">
        <v>11</v>
      </c>
      <c r="C64" s="26">
        <f>D96</f>
        <v>60</v>
      </c>
      <c r="D64" s="28">
        <f>Grunduppgifter!B25</f>
        <v>283</v>
      </c>
      <c r="E64" s="26">
        <f>C64*D64</f>
        <v>16980</v>
      </c>
      <c r="F64" s="26"/>
      <c r="G64" s="24"/>
      <c r="H64" s="24" t="s">
        <v>139</v>
      </c>
      <c r="I64" s="147"/>
      <c r="J64" s="147"/>
      <c r="M64" s="4"/>
      <c r="N64" s="4"/>
      <c r="O64" s="4"/>
      <c r="P64" s="4"/>
      <c r="Q64" s="4"/>
      <c r="R64" s="147"/>
      <c r="T64" s="147"/>
      <c r="U64" s="147"/>
    </row>
    <row r="65" spans="1:21" x14ac:dyDescent="0.2">
      <c r="A65" s="147" t="s">
        <v>239</v>
      </c>
      <c r="B65" s="147"/>
      <c r="C65" s="147"/>
      <c r="D65" s="147"/>
      <c r="E65" s="39">
        <f>SUM(E63:E64)</f>
        <v>18480</v>
      </c>
      <c r="F65" s="147"/>
      <c r="G65" s="147"/>
      <c r="H65" s="147"/>
      <c r="I65" s="147"/>
      <c r="J65" s="147"/>
      <c r="M65" s="4"/>
      <c r="N65" s="4"/>
      <c r="O65" s="4"/>
      <c r="P65" s="4"/>
      <c r="Q65" s="4"/>
      <c r="R65" s="147"/>
      <c r="T65" s="147"/>
      <c r="U65" s="147"/>
    </row>
    <row r="66" spans="1:21" x14ac:dyDescent="0.2">
      <c r="A66" s="30"/>
      <c r="B66" s="24"/>
      <c r="C66" s="24"/>
      <c r="D66" s="24"/>
      <c r="E66" s="26"/>
      <c r="F66" s="24"/>
      <c r="G66" s="24"/>
      <c r="H66" s="24"/>
      <c r="S66" s="147"/>
    </row>
    <row r="67" spans="1:21" x14ac:dyDescent="0.2">
      <c r="A67" s="147" t="s">
        <v>240</v>
      </c>
      <c r="B67" s="46"/>
      <c r="C67" s="46"/>
      <c r="D67" s="46"/>
      <c r="E67" s="110">
        <f>E36+E43+E50+E60+E65</f>
        <v>91212.205833658678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147"/>
      <c r="T67" s="46"/>
      <c r="U67" s="46"/>
    </row>
    <row r="68" spans="1:21" x14ac:dyDescent="0.2">
      <c r="A68" s="46"/>
      <c r="E68" s="13"/>
      <c r="S68" s="147"/>
    </row>
    <row r="69" spans="1:21" x14ac:dyDescent="0.2">
      <c r="A69" s="147" t="s">
        <v>241</v>
      </c>
      <c r="E69" s="9"/>
    </row>
    <row r="70" spans="1:21" x14ac:dyDescent="0.2">
      <c r="A70" s="148" t="s">
        <v>121</v>
      </c>
      <c r="C70" s="148">
        <v>0.1</v>
      </c>
      <c r="D70" s="13">
        <f>Grunduppgifter!B67/(Grunduppgifter!B21+0.05*(Grunduppgifter!B20-Grunduppgifter!B21))</f>
        <v>27272.727272727272</v>
      </c>
      <c r="E70" s="13">
        <f>C70*D70</f>
        <v>2727.2727272727275</v>
      </c>
    </row>
    <row r="71" spans="1:21" x14ac:dyDescent="0.2">
      <c r="A71" s="24" t="s">
        <v>215</v>
      </c>
      <c r="B71" s="24"/>
      <c r="C71" s="24">
        <v>0.1</v>
      </c>
      <c r="D71" s="26">
        <f>Grunduppgifter!B68/(Grunduppgifter!B21+0.05*(Grunduppgifter!B20-Grunduppgifter!B21))</f>
        <v>27272.727272727272</v>
      </c>
      <c r="E71" s="26">
        <f>C71*D71</f>
        <v>2727.2727272727275</v>
      </c>
      <c r="F71" s="24"/>
      <c r="G71" s="24"/>
      <c r="H71" s="24"/>
      <c r="R71" s="147"/>
    </row>
    <row r="72" spans="1:21" x14ac:dyDescent="0.2">
      <c r="A72" s="147" t="s">
        <v>242</v>
      </c>
      <c r="B72" s="147"/>
      <c r="C72" s="147"/>
      <c r="D72" s="39"/>
      <c r="E72" s="39">
        <f>SUM(E70:E71)</f>
        <v>5454.545454545455</v>
      </c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T72" s="147"/>
      <c r="U72" s="147"/>
    </row>
    <row r="73" spans="1:21" x14ac:dyDescent="0.2">
      <c r="A73" s="46"/>
      <c r="D73" s="13"/>
      <c r="E73" s="13"/>
      <c r="R73" s="147"/>
      <c r="S73" s="146"/>
    </row>
    <row r="74" spans="1:21" x14ac:dyDescent="0.2">
      <c r="A74" s="30" t="s">
        <v>0</v>
      </c>
      <c r="B74" s="24"/>
      <c r="C74" s="24"/>
      <c r="D74" s="24"/>
      <c r="E74" s="52">
        <f>E11-E67-E72</f>
        <v>0</v>
      </c>
      <c r="F74" s="24"/>
      <c r="G74" s="24"/>
      <c r="H74" s="24"/>
      <c r="S74" s="147"/>
    </row>
    <row r="75" spans="1:21" x14ac:dyDescent="0.2">
      <c r="A75" s="147"/>
      <c r="E75" s="9"/>
      <c r="S75" s="147"/>
    </row>
    <row r="76" spans="1:21" x14ac:dyDescent="0.2">
      <c r="A76" s="147"/>
    </row>
    <row r="77" spans="1:21" ht="15.75" x14ac:dyDescent="0.25">
      <c r="A77" s="53" t="s">
        <v>243</v>
      </c>
      <c r="B77" s="24"/>
      <c r="C77" s="24"/>
      <c r="D77" s="24"/>
      <c r="E77" s="24"/>
      <c r="F77" s="24"/>
      <c r="G77" s="24"/>
      <c r="H77" s="24"/>
    </row>
    <row r="78" spans="1:21" x14ac:dyDescent="0.2">
      <c r="A78" s="147"/>
      <c r="B78" s="111"/>
      <c r="C78" s="133" t="s">
        <v>244</v>
      </c>
      <c r="D78" s="133" t="s">
        <v>245</v>
      </c>
      <c r="E78" s="111"/>
      <c r="F78" s="133" t="s">
        <v>29</v>
      </c>
      <c r="G78" s="50"/>
      <c r="H78" s="147" t="s">
        <v>30</v>
      </c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</row>
    <row r="79" spans="1:21" x14ac:dyDescent="0.2">
      <c r="A79" s="30" t="s">
        <v>27</v>
      </c>
      <c r="B79" s="30"/>
      <c r="C79" s="134" t="s">
        <v>284</v>
      </c>
      <c r="D79" s="134" t="s">
        <v>284</v>
      </c>
      <c r="E79" s="112"/>
      <c r="F79" s="134" t="s">
        <v>284</v>
      </c>
      <c r="G79" s="49"/>
      <c r="H79" s="30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</row>
    <row r="80" spans="1:21" x14ac:dyDescent="0.2">
      <c r="A80" s="148" t="s">
        <v>82</v>
      </c>
      <c r="D80" s="148">
        <v>2</v>
      </c>
      <c r="F80" s="148">
        <v>2</v>
      </c>
    </row>
    <row r="81" spans="1:10" x14ac:dyDescent="0.2">
      <c r="A81" s="148" t="s">
        <v>33</v>
      </c>
      <c r="D81" s="148">
        <v>2</v>
      </c>
      <c r="F81" s="148">
        <v>2</v>
      </c>
    </row>
    <row r="82" spans="1:10" x14ac:dyDescent="0.2">
      <c r="A82" s="148" t="s">
        <v>53</v>
      </c>
      <c r="D82" s="148">
        <v>3</v>
      </c>
      <c r="F82" s="148">
        <v>0</v>
      </c>
      <c r="H82" s="148" t="s">
        <v>270</v>
      </c>
    </row>
    <row r="83" spans="1:10" s="199" customFormat="1" x14ac:dyDescent="0.2">
      <c r="A83" s="199" t="s">
        <v>247</v>
      </c>
      <c r="D83" s="199">
        <v>5</v>
      </c>
      <c r="F83" s="199">
        <v>0</v>
      </c>
    </row>
    <row r="84" spans="1:10" x14ac:dyDescent="0.2">
      <c r="A84" s="148" t="s">
        <v>72</v>
      </c>
      <c r="C84" s="148">
        <v>45</v>
      </c>
      <c r="D84" s="148">
        <v>5</v>
      </c>
      <c r="F84" s="148">
        <v>0</v>
      </c>
    </row>
    <row r="85" spans="1:10" x14ac:dyDescent="0.2">
      <c r="A85" s="148" t="s">
        <v>34</v>
      </c>
      <c r="D85" s="148">
        <v>4</v>
      </c>
      <c r="F85" s="148">
        <v>0</v>
      </c>
      <c r="H85" s="148" t="s">
        <v>66</v>
      </c>
    </row>
    <row r="86" spans="1:10" x14ac:dyDescent="0.2">
      <c r="A86" s="148" t="s">
        <v>88</v>
      </c>
      <c r="D86" s="148">
        <v>0</v>
      </c>
      <c r="F86" s="148">
        <v>0</v>
      </c>
    </row>
    <row r="87" spans="1:10" x14ac:dyDescent="0.2">
      <c r="A87" s="148" t="s">
        <v>64</v>
      </c>
      <c r="F87" s="148">
        <v>0</v>
      </c>
    </row>
    <row r="88" spans="1:10" x14ac:dyDescent="0.2">
      <c r="A88" s="148" t="s">
        <v>248</v>
      </c>
      <c r="C88" s="148">
        <v>6</v>
      </c>
      <c r="D88" s="148">
        <v>1</v>
      </c>
      <c r="F88" s="148">
        <v>0</v>
      </c>
      <c r="H88" s="146" t="s">
        <v>126</v>
      </c>
      <c r="I88" s="146"/>
    </row>
    <row r="89" spans="1:10" x14ac:dyDescent="0.2">
      <c r="A89" s="148" t="s">
        <v>35</v>
      </c>
      <c r="C89" s="148">
        <v>19</v>
      </c>
      <c r="D89" s="148">
        <v>1</v>
      </c>
      <c r="F89" s="148">
        <v>0</v>
      </c>
      <c r="H89" s="146"/>
    </row>
    <row r="90" spans="1:10" x14ac:dyDescent="0.2">
      <c r="A90" s="24" t="s">
        <v>127</v>
      </c>
      <c r="B90" s="24"/>
      <c r="C90" s="24"/>
      <c r="D90" s="24">
        <v>2</v>
      </c>
      <c r="E90" s="24"/>
      <c r="F90" s="24">
        <v>0</v>
      </c>
      <c r="G90" s="24"/>
      <c r="H90" s="24"/>
    </row>
    <row r="91" spans="1:10" x14ac:dyDescent="0.2">
      <c r="A91" s="146" t="s">
        <v>249</v>
      </c>
      <c r="C91" s="148">
        <f>SUM(C80:C90)</f>
        <v>70</v>
      </c>
      <c r="D91" s="148">
        <f>SUM(D80:D90)</f>
        <v>25</v>
      </c>
      <c r="F91" s="148">
        <f>SUM(F80:F90)</f>
        <v>4</v>
      </c>
    </row>
    <row r="92" spans="1:10" x14ac:dyDescent="0.2">
      <c r="J92" s="204">
        <f>((0.2*$C$4/3+0.8*$C$4*(1+E116)/3)*9/10*Grunduppgifter!$B$26)+((0.2*$C$4/3+0.8*$C$4*(1+E116)/3)*1/10*Grunduppgifter!$B$25)</f>
        <v>39140</v>
      </c>
    </row>
    <row r="93" spans="1:10" x14ac:dyDescent="0.2">
      <c r="A93" s="146" t="s">
        <v>250</v>
      </c>
      <c r="C93" s="9">
        <f>(0.2*C4/3+0.8*C4/3)*9/10</f>
        <v>180</v>
      </c>
      <c r="D93" s="9">
        <f>(0.2*C4/3+0.8*C4/3)*1/10</f>
        <v>20</v>
      </c>
      <c r="F93" s="9">
        <f>0.2*C4/3/30+0.8*C4/3/30</f>
        <v>6.6666666666666661</v>
      </c>
      <c r="H93" s="146" t="s">
        <v>310</v>
      </c>
      <c r="J93" s="204">
        <f>(((0.2*$C$4/3/30+0.8*$C$4*(1+E116)/3/30)*Grunduppgifter!$B$30))</f>
        <v>666.66666666666663</v>
      </c>
    </row>
    <row r="94" spans="1:10" x14ac:dyDescent="0.2">
      <c r="A94" s="146" t="s">
        <v>231</v>
      </c>
      <c r="J94" s="204">
        <f>((0.2*$C$4/3+0.8*$C$4*(1+E116)/3)*9/10*Grunduppgifter!$B$26)+((0.2*$C$4/3+0.8*$C$4*(1+E116)/3)*1/10*Grunduppgifter!$B$25)+((0.2*$C$4/3/30+0.8*$C$4*(1+E116)/3/30)*Grunduppgifter!$B$30)</f>
        <v>39806.666666666664</v>
      </c>
    </row>
    <row r="95" spans="1:10" x14ac:dyDescent="0.2">
      <c r="A95" s="22" t="s">
        <v>128</v>
      </c>
      <c r="B95" s="22"/>
      <c r="C95" s="22"/>
      <c r="D95" s="22"/>
      <c r="E95" s="22"/>
      <c r="F95" s="22">
        <v>0</v>
      </c>
      <c r="G95" s="22"/>
      <c r="H95" s="195"/>
    </row>
    <row r="96" spans="1:10" s="194" customFormat="1" x14ac:dyDescent="0.2">
      <c r="A96" s="60" t="s">
        <v>259</v>
      </c>
      <c r="B96" s="24"/>
      <c r="C96" s="24"/>
      <c r="D96" s="24">
        <f>Grunduppgifter!B27</f>
        <v>60</v>
      </c>
      <c r="E96" s="24"/>
      <c r="F96" s="24"/>
      <c r="G96" s="24"/>
      <c r="H96" s="29"/>
    </row>
    <row r="97" spans="1:21" x14ac:dyDescent="0.2">
      <c r="A97" s="147" t="s">
        <v>251</v>
      </c>
      <c r="B97" s="147"/>
      <c r="C97" s="45">
        <f>SUM(C91:C96)</f>
        <v>250</v>
      </c>
      <c r="D97" s="45">
        <f>SUM(D91:D96)</f>
        <v>105</v>
      </c>
      <c r="E97" s="147"/>
      <c r="F97" s="45">
        <f>SUM(F91:F96)</f>
        <v>10.666666666666666</v>
      </c>
      <c r="G97" s="147"/>
      <c r="H97" s="45">
        <f>SUM(B97:D97)</f>
        <v>355</v>
      </c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</row>
    <row r="98" spans="1:21" x14ac:dyDescent="0.2">
      <c r="A98" s="147"/>
      <c r="B98" s="147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</row>
    <row r="100" spans="1:21" ht="25.5" x14ac:dyDescent="0.25">
      <c r="A100" s="53" t="s">
        <v>132</v>
      </c>
      <c r="B100" s="114"/>
      <c r="C100" s="115" t="s">
        <v>252</v>
      </c>
      <c r="D100" s="115" t="s">
        <v>253</v>
      </c>
    </row>
    <row r="101" spans="1:21" x14ac:dyDescent="0.2">
      <c r="A101" s="148" t="s">
        <v>278</v>
      </c>
      <c r="B101" s="116"/>
      <c r="C101" s="116">
        <f>(E29-E10)/C9</f>
        <v>48.500746893141944</v>
      </c>
      <c r="D101" s="116">
        <f t="shared" ref="D101:D106" si="1">C101+$C$107*C101/($C$108-$C$107)</f>
        <v>51.417107773982593</v>
      </c>
    </row>
    <row r="102" spans="1:21" x14ac:dyDescent="0.2">
      <c r="A102" s="148" t="s">
        <v>254</v>
      </c>
      <c r="B102" s="116"/>
      <c r="C102" s="116">
        <f>E35/C9</f>
        <v>6.9057557869728434</v>
      </c>
      <c r="D102" s="116">
        <f t="shared" si="1"/>
        <v>7.3210004444239702</v>
      </c>
    </row>
    <row r="103" spans="1:21" x14ac:dyDescent="0.2">
      <c r="A103" s="148" t="s">
        <v>258</v>
      </c>
      <c r="B103" s="116"/>
      <c r="C103" s="116">
        <f>E43/C9</f>
        <v>69.836257309941516</v>
      </c>
      <c r="D103" s="116">
        <f t="shared" si="1"/>
        <v>74.035527257923164</v>
      </c>
    </row>
    <row r="104" spans="1:21" x14ac:dyDescent="0.2">
      <c r="A104" s="148" t="s">
        <v>231</v>
      </c>
      <c r="B104" s="116"/>
      <c r="C104" s="116">
        <f>E50/C9</f>
        <v>0</v>
      </c>
      <c r="D104" s="116">
        <f t="shared" si="1"/>
        <v>0</v>
      </c>
    </row>
    <row r="105" spans="1:21" x14ac:dyDescent="0.2">
      <c r="A105" s="148" t="s">
        <v>235</v>
      </c>
      <c r="B105" s="116"/>
      <c r="C105" s="116">
        <f>E60/C9</f>
        <v>1.480408139169443</v>
      </c>
      <c r="D105" s="116">
        <f t="shared" si="1"/>
        <v>1.5694254154242619</v>
      </c>
    </row>
    <row r="106" spans="1:21" x14ac:dyDescent="0.2">
      <c r="A106" s="148" t="s">
        <v>131</v>
      </c>
      <c r="B106" s="116"/>
      <c r="C106" s="116">
        <f>E65/C9</f>
        <v>32.421052631578945</v>
      </c>
      <c r="D106" s="116">
        <f t="shared" si="1"/>
        <v>34.370537859481331</v>
      </c>
    </row>
    <row r="107" spans="1:21" x14ac:dyDescent="0.2">
      <c r="A107" s="24" t="s">
        <v>241</v>
      </c>
      <c r="B107" s="117"/>
      <c r="C107" s="117">
        <f>E72/C9</f>
        <v>9.5693779904306222</v>
      </c>
      <c r="D107" s="117"/>
    </row>
    <row r="108" spans="1:21" x14ac:dyDescent="0.2">
      <c r="B108" s="113"/>
      <c r="C108" s="113">
        <f>SUM(C101:C107)</f>
        <v>168.71359875123528</v>
      </c>
      <c r="D108" s="113">
        <f>SUM(D101:D107)</f>
        <v>168.71359875123534</v>
      </c>
    </row>
    <row r="109" spans="1:21" x14ac:dyDescent="0.2">
      <c r="B109" s="116"/>
    </row>
    <row r="111" spans="1:21" x14ac:dyDescent="0.2">
      <c r="A111" s="58" t="s">
        <v>255</v>
      </c>
      <c r="B111" s="58"/>
      <c r="C111" s="118">
        <v>-0.5</v>
      </c>
      <c r="D111" s="118">
        <v>-0.25</v>
      </c>
      <c r="E111" s="58">
        <v>0</v>
      </c>
      <c r="F111" s="118">
        <v>0.25</v>
      </c>
      <c r="G111" s="118">
        <v>0.5</v>
      </c>
    </row>
    <row r="112" spans="1:21" x14ac:dyDescent="0.2">
      <c r="A112" s="148" t="s">
        <v>256</v>
      </c>
      <c r="B112" s="148" t="s">
        <v>246</v>
      </c>
      <c r="C112" s="9">
        <f>($C$97+$D$97)*(1+C111)</f>
        <v>177.5</v>
      </c>
      <c r="D112" s="9">
        <f>($C$97+$D$97)*(1+D111)</f>
        <v>266.25</v>
      </c>
      <c r="E112" s="9">
        <f>($C$97+$D$97)*(1+E111)</f>
        <v>355</v>
      </c>
      <c r="F112" s="9">
        <f>($C$97+$D$97)*(1+F111)</f>
        <v>443.75</v>
      </c>
      <c r="G112" s="9">
        <f>($C$97+$D$97)*(1+G111)</f>
        <v>532.5</v>
      </c>
    </row>
    <row r="113" spans="1:8" x14ac:dyDescent="0.2">
      <c r="A113" s="24" t="s">
        <v>116</v>
      </c>
      <c r="B113" s="24" t="s">
        <v>133</v>
      </c>
      <c r="C113" s="31">
        <f>($E$67+$E$72-$E$10+C111*($E$14+$E$15+$E$39+$E$40+$E$46+$E$53+$E$54))/$C$9</f>
        <v>116.75307243544584</v>
      </c>
      <c r="D113" s="31">
        <f>($E$67+$E$72-$E$10+D111*($E$14+$E$15+$E$39+$E$40+$E$46+$E$53+$E$54))/$C$9</f>
        <v>142.7333355933406</v>
      </c>
      <c r="E113" s="31">
        <f>($E$67+$E$72-$E$10+E111*($E$14+$E$15+$E$39+$E$40+$E$46+$E$53+$E$54))/$C$9</f>
        <v>168.71359875123531</v>
      </c>
      <c r="F113" s="31">
        <f>($E$67+$E$72-$E$10+F111*($E$14+$E$15+$E$39+$E$40+$E$46+$E$53+$E$54))/$C$9</f>
        <v>194.69386190913005</v>
      </c>
      <c r="G113" s="31">
        <f>($E$67+$E$72-$E$10+G111*($E$14+$E$15+$E$39+$E$40+$E$46+$E$53+$E$54))/$C$9</f>
        <v>220.67412506702479</v>
      </c>
      <c r="H113" s="147"/>
    </row>
    <row r="116" spans="1:8" x14ac:dyDescent="0.2">
      <c r="A116" s="30" t="s">
        <v>255</v>
      </c>
      <c r="B116" s="30"/>
      <c r="C116" s="119">
        <v>-0.5</v>
      </c>
      <c r="D116" s="119">
        <v>-0.25</v>
      </c>
      <c r="E116" s="30">
        <v>0</v>
      </c>
      <c r="F116" s="119">
        <v>0.25</v>
      </c>
      <c r="G116" s="119">
        <v>0.5</v>
      </c>
      <c r="H116" s="148" t="s">
        <v>296</v>
      </c>
    </row>
    <row r="117" spans="1:8" x14ac:dyDescent="0.2">
      <c r="A117" s="148" t="s">
        <v>4</v>
      </c>
      <c r="B117" s="148" t="s">
        <v>257</v>
      </c>
      <c r="C117" s="136">
        <f>$C$9/1000*(1+C116)</f>
        <v>0.28499999999999998</v>
      </c>
      <c r="D117" s="136">
        <f>$C$9/1000*(1+D116)</f>
        <v>0.42749999999999999</v>
      </c>
      <c r="E117" s="136">
        <f>$C$9/1000*(1+E116)</f>
        <v>0.56999999999999995</v>
      </c>
      <c r="F117" s="136">
        <f>$C$9/1000*(1+F116)</f>
        <v>0.71249999999999991</v>
      </c>
      <c r="G117" s="136">
        <f>$C$9/1000*(1+G116)</f>
        <v>0.85499999999999998</v>
      </c>
    </row>
    <row r="118" spans="1:8" x14ac:dyDescent="0.2">
      <c r="A118" s="148" t="s">
        <v>220</v>
      </c>
      <c r="B118" s="148" t="s">
        <v>202</v>
      </c>
      <c r="C118" s="13">
        <f>$E$36</f>
        <v>32081.706527665428</v>
      </c>
      <c r="D118" s="13">
        <f>$E$36</f>
        <v>32081.706527665428</v>
      </c>
      <c r="E118" s="13">
        <f>$E$36</f>
        <v>32081.706527665428</v>
      </c>
      <c r="F118" s="13">
        <f>$E$36</f>
        <v>32081.706527665428</v>
      </c>
      <c r="G118" s="13">
        <f>$E$36</f>
        <v>32081.706527665428</v>
      </c>
    </row>
    <row r="119" spans="1:8" x14ac:dyDescent="0.2">
      <c r="A119" s="148" t="s">
        <v>258</v>
      </c>
      <c r="B119" s="148" t="s">
        <v>202</v>
      </c>
      <c r="C119" s="13">
        <f>((0.2*$C$4/3+0.8*$C$4*(1+C116)/3)*9/10*Grunduppgifter!$B$26)+((0.2*$C$4/3+0.8*$C$4*(1+C116)/3)*1/10*Grunduppgifter!$B$25)+((0.2*$C$4/3/30+0.8*$C$4*(1+C116)/3/30)*Grunduppgifter!$B$30)</f>
        <v>23884</v>
      </c>
      <c r="D119" s="13">
        <f>((0.2*$C$4/3+0.8*$C$4*(1+D116)/3)*9/10*Grunduppgifter!$B$26)+((0.2*$C$4/3+0.8*$C$4*(1+D116)/3)*1/10*Grunduppgifter!$B$25)+((0.2*$C$4/3/30+0.8*$C$4*(1+D116)/3/30)*Grunduppgifter!$B$30)</f>
        <v>31845.333333333332</v>
      </c>
      <c r="E119" s="13">
        <f>((0.2*$C$4/3+0.8*$C$4*(1+E116)/3)*9/10*Grunduppgifter!$B$26)+((0.2*$C$4/3+0.8*$C$4*(1+E116)/3)*1/10*Grunduppgifter!$B$25)+((0.2*$C$4/3/30+0.8*$C$4*(1+E116)/3/30)*Grunduppgifter!$B$30)</f>
        <v>39806.666666666664</v>
      </c>
      <c r="F119" s="13">
        <f>((0.2*$C$4/3+0.8*$C$4*(1+F116)/3)*9/10*Grunduppgifter!$B$26)+((0.2*$C$4/3+0.8*$C$4*(1+F116)/3)*1/10*Grunduppgifter!$B$25)+((0.2*$C$4/3/30+0.8*$C$4*(1+F116)/3/30)*Grunduppgifter!$B$30)</f>
        <v>47768</v>
      </c>
      <c r="G119" s="13">
        <f>((0.2*$C$4/3+0.8*$C$4*(1+G116)/3)*9/10*Grunduppgifter!$B$26)+((0.2*$C$4/3+0.8*$C$4*(1+G116)/3)*1/10*Grunduppgifter!$B$25)+((0.2*$C$4/3/30+0.8*$C$4*(1+G116)/3/30)*Grunduppgifter!$B$30)</f>
        <v>55729.333333333336</v>
      </c>
    </row>
    <row r="120" spans="1:8" x14ac:dyDescent="0.2">
      <c r="A120" s="148" t="s">
        <v>228</v>
      </c>
      <c r="B120" s="148" t="s">
        <v>202</v>
      </c>
      <c r="C120" s="13">
        <f>$E$41</f>
        <v>0</v>
      </c>
      <c r="D120" s="13">
        <f>$E$41</f>
        <v>0</v>
      </c>
      <c r="E120" s="13">
        <f>$E$41</f>
        <v>0</v>
      </c>
      <c r="F120" s="13">
        <f>$E$41</f>
        <v>0</v>
      </c>
      <c r="G120" s="13">
        <f>$E$41</f>
        <v>0</v>
      </c>
    </row>
    <row r="121" spans="1:8" x14ac:dyDescent="0.2">
      <c r="A121" s="148" t="s">
        <v>231</v>
      </c>
      <c r="B121" s="148" t="s">
        <v>202</v>
      </c>
      <c r="C121" s="13">
        <f t="shared" ref="C121:D121" si="2">$E$46+$E$47+$E$48+$E$49*(1+C116)</f>
        <v>0</v>
      </c>
      <c r="D121" s="13">
        <f t="shared" si="2"/>
        <v>0</v>
      </c>
      <c r="E121" s="13">
        <f>$E$46+$E$47+$E$48+$E$49*(1+E116)</f>
        <v>0</v>
      </c>
      <c r="F121" s="13">
        <f>$E$46+$E$47+$E$48+$E$49*(1+F116)</f>
        <v>0</v>
      </c>
      <c r="G121" s="13">
        <f>$E$46+$E$47+$E$48+$E$49*(1+G116)</f>
        <v>0</v>
      </c>
    </row>
    <row r="122" spans="1:8" x14ac:dyDescent="0.2">
      <c r="A122" s="148" t="s">
        <v>235</v>
      </c>
      <c r="B122" s="148" t="s">
        <v>202</v>
      </c>
      <c r="C122" s="13">
        <f t="shared" ref="C122:D122" si="3">$E$55+$E$56+$E$57+($E$53+$E$54+$E$58+$E$59)*(1+C116)</f>
        <v>798.23263932658256</v>
      </c>
      <c r="D122" s="13">
        <f t="shared" si="3"/>
        <v>821.03263932658251</v>
      </c>
      <c r="E122" s="13">
        <f>$E$55+$E$56+$E$57+($E$53+$E$54+$E$58+$E$59)*(1+E116)</f>
        <v>843.83263932658258</v>
      </c>
      <c r="F122" s="13">
        <f t="shared" ref="F122:G122" si="4">$E$55+$E$56+$E$57+($E$53+$E$54+$E$58+$E$59)*(1+F116)</f>
        <v>866.63263932658253</v>
      </c>
      <c r="G122" s="13">
        <f t="shared" si="4"/>
        <v>889.4326393265826</v>
      </c>
    </row>
    <row r="123" spans="1:8" x14ac:dyDescent="0.2">
      <c r="A123" s="148" t="s">
        <v>259</v>
      </c>
      <c r="B123" s="148" t="s">
        <v>202</v>
      </c>
      <c r="C123" s="13">
        <f t="shared" ref="C123:D123" si="5">0.2*$E$64+0.8*$E$64*(1+C114)</f>
        <v>16980</v>
      </c>
      <c r="D123" s="13">
        <f t="shared" si="5"/>
        <v>16980</v>
      </c>
      <c r="E123" s="13">
        <f>0.2*$E$65+0.8*$E$65*(1+E114)</f>
        <v>18480</v>
      </c>
      <c r="F123" s="13">
        <f t="shared" ref="F123:G123" si="6">0.2*$E$64+0.8*$E$64*(1+F114)</f>
        <v>16980</v>
      </c>
      <c r="G123" s="13">
        <f t="shared" si="6"/>
        <v>16980</v>
      </c>
      <c r="H123" s="13"/>
    </row>
    <row r="124" spans="1:8" x14ac:dyDescent="0.2">
      <c r="A124" s="148" t="s">
        <v>260</v>
      </c>
      <c r="B124" s="148" t="s">
        <v>202</v>
      </c>
      <c r="C124" s="13">
        <f>SUM(C119:C123)</f>
        <v>41662.232639326583</v>
      </c>
      <c r="D124" s="13">
        <f>SUM(D119:D123)</f>
        <v>49646.365972659914</v>
      </c>
      <c r="E124" s="13">
        <f>SUM(E119:E123)</f>
        <v>59130.499305993246</v>
      </c>
      <c r="F124" s="13">
        <f>SUM(F119:F123)</f>
        <v>65614.632639326592</v>
      </c>
      <c r="G124" s="13">
        <f>SUM(G119:G123)</f>
        <v>73598.765972659923</v>
      </c>
    </row>
    <row r="125" spans="1:8" x14ac:dyDescent="0.2">
      <c r="A125" s="148" t="s">
        <v>121</v>
      </c>
      <c r="B125" s="148" t="s">
        <v>202</v>
      </c>
      <c r="C125" s="13">
        <f>$E$72</f>
        <v>5454.545454545455</v>
      </c>
      <c r="D125" s="13">
        <f>$E$72</f>
        <v>5454.545454545455</v>
      </c>
      <c r="E125" s="13">
        <f>$E$72</f>
        <v>5454.545454545455</v>
      </c>
      <c r="F125" s="13">
        <f>$E$72</f>
        <v>5454.545454545455</v>
      </c>
      <c r="G125" s="13">
        <f>$E$72</f>
        <v>5454.545454545455</v>
      </c>
    </row>
    <row r="126" spans="1:8" x14ac:dyDescent="0.2">
      <c r="A126" s="148" t="s">
        <v>261</v>
      </c>
      <c r="B126" s="148" t="s">
        <v>202</v>
      </c>
      <c r="C126" s="13">
        <f>C118+C124+C125</f>
        <v>79198.484621537471</v>
      </c>
      <c r="D126" s="13">
        <f>D118+D124+D125</f>
        <v>87182.617954870802</v>
      </c>
      <c r="E126" s="13">
        <f>E118+E124+E125</f>
        <v>96666.751288204134</v>
      </c>
      <c r="F126" s="13">
        <f>F118+F124+F125</f>
        <v>103150.88462153748</v>
      </c>
      <c r="G126" s="13">
        <f>G118+G124+G125</f>
        <v>111135.01795487081</v>
      </c>
    </row>
    <row r="127" spans="1:8" x14ac:dyDescent="0.2">
      <c r="A127" s="24" t="s">
        <v>116</v>
      </c>
      <c r="B127" s="24" t="s">
        <v>133</v>
      </c>
      <c r="C127" s="31">
        <f>(C126-$E$10)/C117/1000</f>
        <v>276.13503375978064</v>
      </c>
      <c r="D127" s="31">
        <f>(D126-$E$10)/D117/1000</f>
        <v>202.76635778917148</v>
      </c>
      <c r="E127" s="31">
        <f>(E126-$E$10)/E117/1000</f>
        <v>168.71359875123534</v>
      </c>
      <c r="F127" s="31">
        <f>(F126-$E$10)/F117/1000</f>
        <v>144.07141701268418</v>
      </c>
      <c r="G127" s="31">
        <f>(G126-$E$10)/G117/1000</f>
        <v>129.39768181856235</v>
      </c>
    </row>
    <row r="130" spans="1:6" x14ac:dyDescent="0.2">
      <c r="A130" s="172" t="s">
        <v>262</v>
      </c>
      <c r="B130" s="121"/>
      <c r="C130" s="121"/>
      <c r="D130" s="121"/>
      <c r="E130" s="121"/>
      <c r="F130" s="122"/>
    </row>
    <row r="131" spans="1:6" ht="25.5" x14ac:dyDescent="0.2">
      <c r="A131" s="123"/>
      <c r="B131" s="169"/>
      <c r="C131" s="124" t="s">
        <v>263</v>
      </c>
      <c r="D131" s="124" t="s">
        <v>223</v>
      </c>
      <c r="E131" s="124" t="s">
        <v>115</v>
      </c>
      <c r="F131" s="125" t="s">
        <v>264</v>
      </c>
    </row>
    <row r="132" spans="1:6" x14ac:dyDescent="0.2">
      <c r="A132" s="173" t="s">
        <v>274</v>
      </c>
      <c r="B132" s="169"/>
      <c r="C132" s="169"/>
      <c r="D132" s="169"/>
      <c r="E132" s="169"/>
      <c r="F132" s="127"/>
    </row>
    <row r="133" spans="1:6" x14ac:dyDescent="0.2">
      <c r="A133" s="123" t="str">
        <f>Grunduppgifter!A36</f>
        <v xml:space="preserve">Biofer 10-3-1 </v>
      </c>
      <c r="B133" s="168" t="s">
        <v>14</v>
      </c>
      <c r="C133" s="169">
        <f>Grunduppgifter!I88</f>
        <v>0</v>
      </c>
      <c r="D133" s="169"/>
      <c r="E133" s="4">
        <f>Grunduppgifter!B36</f>
        <v>3.91</v>
      </c>
      <c r="F133" s="151">
        <f>C133*E133*(1+Grunduppgifter!$B$49)</f>
        <v>0</v>
      </c>
    </row>
    <row r="134" spans="1:6" x14ac:dyDescent="0.2">
      <c r="A134" s="123" t="str">
        <f>Grunduppgifter!A37</f>
        <v>Biofer 9-3-4</v>
      </c>
      <c r="B134" s="168" t="s">
        <v>14</v>
      </c>
      <c r="C134" s="169">
        <f>Grunduppgifter!I89</f>
        <v>0</v>
      </c>
      <c r="D134" s="169"/>
      <c r="E134" s="4">
        <f>Grunduppgifter!B37</f>
        <v>4.16</v>
      </c>
      <c r="F134" s="151">
        <f>C134*E134*(1+Grunduppgifter!$B$49)</f>
        <v>0</v>
      </c>
    </row>
    <row r="135" spans="1:6" x14ac:dyDescent="0.2">
      <c r="A135" s="123" t="str">
        <f>Grunduppgifter!A38</f>
        <v xml:space="preserve">Biofer 6-3-12 </v>
      </c>
      <c r="B135" s="168" t="s">
        <v>14</v>
      </c>
      <c r="C135" s="24">
        <f>Grunduppgifter!I90</f>
        <v>0</v>
      </c>
      <c r="D135" s="169"/>
      <c r="E135" s="31">
        <f>Grunduppgifter!B38</f>
        <v>5.1100000000000003</v>
      </c>
      <c r="F135" s="131">
        <f>C135*E135*(1+Grunduppgifter!$B$49)</f>
        <v>0</v>
      </c>
    </row>
    <row r="136" spans="1:6" x14ac:dyDescent="0.2">
      <c r="A136" s="130" t="s">
        <v>279</v>
      </c>
      <c r="B136" s="169"/>
      <c r="C136" s="169">
        <f>SUM(C133:C135)</f>
        <v>0</v>
      </c>
      <c r="D136" s="169"/>
      <c r="E136" s="4">
        <f>IF(C136=0,0,F136/C136)</f>
        <v>0</v>
      </c>
      <c r="F136" s="128">
        <f>SUM(F133:F135)</f>
        <v>0</v>
      </c>
    </row>
    <row r="137" spans="1:6" x14ac:dyDescent="0.2">
      <c r="A137" s="123"/>
      <c r="B137" s="169"/>
      <c r="C137" s="169"/>
      <c r="D137" s="169"/>
      <c r="E137" s="4"/>
      <c r="F137" s="128"/>
    </row>
    <row r="138" spans="1:6" x14ac:dyDescent="0.2">
      <c r="A138" s="173" t="s">
        <v>178</v>
      </c>
      <c r="B138" s="169"/>
      <c r="C138" s="169"/>
      <c r="D138" s="169"/>
      <c r="E138" s="4"/>
      <c r="F138" s="128"/>
    </row>
    <row r="139" spans="1:6" x14ac:dyDescent="0.2">
      <c r="A139" s="123" t="s">
        <v>177</v>
      </c>
      <c r="B139" s="168" t="s">
        <v>14</v>
      </c>
      <c r="C139" s="24">
        <f>Grunduppgifter!I85</f>
        <v>0</v>
      </c>
      <c r="D139" s="169"/>
      <c r="E139" s="31">
        <f>Grunduppgifter!B39</f>
        <v>4.5599999999999996</v>
      </c>
      <c r="F139" s="131">
        <f>C139*E139*(1+Grunduppgifter!$B$49)</f>
        <v>0</v>
      </c>
    </row>
    <row r="140" spans="1:6" x14ac:dyDescent="0.2">
      <c r="A140" s="130" t="s">
        <v>280</v>
      </c>
      <c r="B140" s="169"/>
      <c r="C140" s="169">
        <f>SUM(C139)</f>
        <v>0</v>
      </c>
      <c r="D140" s="169"/>
      <c r="E140" s="4">
        <f>IF(C140=0,0,F140/C140)</f>
        <v>0</v>
      </c>
      <c r="F140" s="128">
        <f>SUM(F139:F139)</f>
        <v>0</v>
      </c>
    </row>
    <row r="141" spans="1:6" x14ac:dyDescent="0.2">
      <c r="A141" s="123"/>
      <c r="B141" s="169"/>
      <c r="C141" s="169"/>
      <c r="D141" s="169"/>
      <c r="E141" s="169"/>
      <c r="F141" s="127"/>
    </row>
    <row r="142" spans="1:6" x14ac:dyDescent="0.2">
      <c r="A142" s="123"/>
      <c r="B142" s="169"/>
      <c r="C142" s="169"/>
      <c r="D142" s="169"/>
      <c r="E142" s="169"/>
      <c r="F142" s="127"/>
    </row>
    <row r="143" spans="1:6" x14ac:dyDescent="0.2">
      <c r="A143" s="173" t="s">
        <v>275</v>
      </c>
      <c r="B143" s="169"/>
      <c r="C143" s="169"/>
      <c r="D143" s="169"/>
      <c r="E143" s="169"/>
      <c r="F143" s="127"/>
    </row>
    <row r="144" spans="1:6" x14ac:dyDescent="0.2">
      <c r="A144" s="130"/>
      <c r="B144" s="168" t="s">
        <v>59</v>
      </c>
      <c r="C144" s="169"/>
      <c r="D144" s="169"/>
      <c r="E144" s="169"/>
      <c r="F144" s="131"/>
    </row>
    <row r="145" spans="1:6" x14ac:dyDescent="0.2">
      <c r="A145" s="132" t="s">
        <v>281</v>
      </c>
      <c r="B145" s="24"/>
      <c r="C145" s="24"/>
      <c r="D145" s="24"/>
      <c r="E145" s="24"/>
      <c r="F145" s="131">
        <f>SUM(F144)</f>
        <v>0</v>
      </c>
    </row>
    <row r="146" spans="1:6" x14ac:dyDescent="0.2">
      <c r="A146" s="169"/>
      <c r="B146" s="169"/>
      <c r="C146" s="169"/>
      <c r="D146" s="169"/>
      <c r="E146" s="169"/>
      <c r="F146" s="169"/>
    </row>
    <row r="147" spans="1:6" x14ac:dyDescent="0.2">
      <c r="A147" s="169"/>
      <c r="B147" s="169"/>
      <c r="C147" s="169"/>
      <c r="D147" s="169"/>
      <c r="E147" s="169"/>
      <c r="F147" s="169"/>
    </row>
    <row r="148" spans="1:6" x14ac:dyDescent="0.2">
      <c r="A148" s="174" t="s">
        <v>360</v>
      </c>
      <c r="B148" s="175" t="s">
        <v>354</v>
      </c>
      <c r="C148" s="175" t="s">
        <v>355</v>
      </c>
      <c r="D148" s="176" t="s">
        <v>356</v>
      </c>
      <c r="E148" s="169"/>
      <c r="F148" s="169"/>
    </row>
    <row r="149" spans="1:6" x14ac:dyDescent="0.2">
      <c r="A149" s="130" t="s">
        <v>385</v>
      </c>
      <c r="B149" s="180">
        <v>2.5</v>
      </c>
      <c r="C149" s="180">
        <v>0.4</v>
      </c>
      <c r="D149" s="127">
        <v>2.2000000000000002</v>
      </c>
      <c r="E149" s="169"/>
      <c r="F149" s="169"/>
    </row>
    <row r="150" spans="1:6" x14ac:dyDescent="0.2">
      <c r="A150" s="173" t="s">
        <v>362</v>
      </c>
      <c r="B150" s="169">
        <f>$C$4*B149/1000</f>
        <v>1.5</v>
      </c>
      <c r="C150" s="169">
        <f t="shared" ref="C150:D150" si="7">$C$4*C149/1000</f>
        <v>0.24</v>
      </c>
      <c r="D150" s="127">
        <f t="shared" si="7"/>
        <v>1.32</v>
      </c>
      <c r="E150" s="169"/>
      <c r="F150" s="169"/>
    </row>
    <row r="151" spans="1:6" x14ac:dyDescent="0.2">
      <c r="A151" s="173" t="s">
        <v>363</v>
      </c>
      <c r="B151" s="169"/>
      <c r="C151" s="169"/>
      <c r="D151" s="127"/>
      <c r="E151" s="169"/>
      <c r="F151" s="169"/>
    </row>
    <row r="152" spans="1:6" x14ac:dyDescent="0.2">
      <c r="A152" s="123" t="str">
        <f>A19</f>
        <v>Stallgödsel</v>
      </c>
      <c r="B152" s="169">
        <f>C19*Grunduppgifter!B74</f>
        <v>2</v>
      </c>
      <c r="C152" s="169">
        <f>C19*Grunduppgifter!B75</f>
        <v>3</v>
      </c>
      <c r="D152" s="127">
        <f>C19*Grunduppgifter!B76</f>
        <v>10</v>
      </c>
      <c r="E152" s="169"/>
      <c r="F152" s="169"/>
    </row>
    <row r="153" spans="1:6" x14ac:dyDescent="0.2">
      <c r="A153" s="123" t="str">
        <f>Grunduppgifter!A36</f>
        <v xml:space="preserve">Biofer 10-3-1 </v>
      </c>
      <c r="B153" s="169">
        <f>Grunduppgifter!I74*C133</f>
        <v>0</v>
      </c>
      <c r="C153" s="169">
        <f>Grunduppgifter!I75*C133</f>
        <v>0</v>
      </c>
      <c r="D153" s="127">
        <f>Grunduppgifter!I76*C133</f>
        <v>0</v>
      </c>
      <c r="E153" s="169"/>
      <c r="F153" s="169"/>
    </row>
    <row r="154" spans="1:6" x14ac:dyDescent="0.2">
      <c r="A154" s="123" t="str">
        <f>Grunduppgifter!A37</f>
        <v>Biofer 9-3-4</v>
      </c>
      <c r="B154" s="169">
        <f>Grunduppgifter!J74*C134</f>
        <v>0</v>
      </c>
      <c r="C154" s="169">
        <f>Grunduppgifter!J75*C134</f>
        <v>0</v>
      </c>
      <c r="D154" s="127">
        <f>Grunduppgifter!J76*C134</f>
        <v>0</v>
      </c>
      <c r="E154" s="169"/>
      <c r="F154" s="169"/>
    </row>
    <row r="155" spans="1:6" x14ac:dyDescent="0.2">
      <c r="A155" s="123" t="str">
        <f>Grunduppgifter!A38</f>
        <v xml:space="preserve">Biofer 6-3-12 </v>
      </c>
      <c r="B155" s="169">
        <f>Grunduppgifter!K74*C135</f>
        <v>0</v>
      </c>
      <c r="C155" s="169">
        <f>Grunduppgifter!K75*C135</f>
        <v>0</v>
      </c>
      <c r="D155" s="127">
        <f>Grunduppgifter!K76*C135</f>
        <v>0</v>
      </c>
      <c r="E155" s="169"/>
      <c r="F155" s="169"/>
    </row>
    <row r="156" spans="1:6" x14ac:dyDescent="0.2">
      <c r="A156" s="123" t="str">
        <f>A139</f>
        <v>Kalimagnesia 25-6</v>
      </c>
      <c r="B156" s="169"/>
      <c r="C156" s="169"/>
      <c r="D156" s="127">
        <f>Grunduppgifter!F76*C139</f>
        <v>0</v>
      </c>
      <c r="E156" s="169"/>
      <c r="F156" s="169"/>
    </row>
    <row r="157" spans="1:6" x14ac:dyDescent="0.2">
      <c r="A157" s="123" t="s">
        <v>365</v>
      </c>
      <c r="B157" s="169">
        <f>'Gröngödsling 1'!C6*Grunduppgifter!I91</f>
        <v>2</v>
      </c>
      <c r="C157" s="169"/>
      <c r="D157" s="127"/>
      <c r="E157" s="169"/>
      <c r="F157" s="169"/>
    </row>
    <row r="158" spans="1:6" x14ac:dyDescent="0.2">
      <c r="A158" s="123" t="s">
        <v>366</v>
      </c>
      <c r="B158" s="169">
        <f>SUM(B152:B157)</f>
        <v>4</v>
      </c>
      <c r="C158" s="169">
        <f t="shared" ref="C158:D158" si="8">SUM(C152:C157)</f>
        <v>3</v>
      </c>
      <c r="D158" s="127">
        <f t="shared" si="8"/>
        <v>10</v>
      </c>
      <c r="E158" s="169"/>
      <c r="F158" s="169"/>
    </row>
    <row r="159" spans="1:6" x14ac:dyDescent="0.2">
      <c r="A159" s="177" t="s">
        <v>367</v>
      </c>
      <c r="B159" s="24">
        <f>B158-B150</f>
        <v>2.5</v>
      </c>
      <c r="C159" s="24">
        <f t="shared" ref="C159:D159" si="9">C158-C150</f>
        <v>2.76</v>
      </c>
      <c r="D159" s="178">
        <f t="shared" si="9"/>
        <v>8.68</v>
      </c>
      <c r="E159" s="169"/>
      <c r="F159" s="169"/>
    </row>
  </sheetData>
  <mergeCells count="2">
    <mergeCell ref="K3:S3"/>
    <mergeCell ref="K6:S6"/>
  </mergeCells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9"/>
  <sheetViews>
    <sheetView zoomScaleNormal="100" workbookViewId="0">
      <selection activeCell="D25" sqref="D25"/>
    </sheetView>
  </sheetViews>
  <sheetFormatPr defaultRowHeight="12.75" x14ac:dyDescent="0.2"/>
  <cols>
    <col min="1" max="1" width="28.140625" customWidth="1"/>
    <col min="2" max="2" width="10.5703125" customWidth="1"/>
    <col min="3" max="3" width="8.7109375" bestFit="1" customWidth="1"/>
    <col min="7" max="7" width="29.140625" customWidth="1"/>
    <col min="9" max="9" width="7.5703125" customWidth="1"/>
  </cols>
  <sheetData>
    <row r="1" spans="1:8" s="21" customFormat="1" ht="15.75" x14ac:dyDescent="0.25">
      <c r="A1" s="20" t="s">
        <v>102</v>
      </c>
      <c r="B1" s="20" t="s">
        <v>62</v>
      </c>
      <c r="C1" s="20"/>
      <c r="D1" s="20" t="s">
        <v>99</v>
      </c>
    </row>
    <row r="3" spans="1:8" x14ac:dyDescent="0.2">
      <c r="A3" t="s">
        <v>2</v>
      </c>
      <c r="B3" s="11">
        <v>1000</v>
      </c>
      <c r="C3" s="168" t="s">
        <v>283</v>
      </c>
    </row>
    <row r="4" spans="1:8" x14ac:dyDescent="0.2">
      <c r="A4" s="24"/>
      <c r="B4" s="32"/>
      <c r="C4" s="51"/>
      <c r="D4" s="24"/>
      <c r="E4" s="24"/>
      <c r="F4" s="24"/>
      <c r="G4" s="24"/>
    </row>
    <row r="5" spans="1:8" s="7" customFormat="1" x14ac:dyDescent="0.2">
      <c r="A5" s="30" t="s">
        <v>5</v>
      </c>
      <c r="B5" s="30"/>
      <c r="C5" s="49" t="s">
        <v>6</v>
      </c>
      <c r="D5" s="49" t="s">
        <v>115</v>
      </c>
      <c r="E5" s="49" t="s">
        <v>1</v>
      </c>
      <c r="F5" s="30"/>
      <c r="G5" s="30"/>
    </row>
    <row r="6" spans="1:8" x14ac:dyDescent="0.2">
      <c r="A6" t="s">
        <v>83</v>
      </c>
      <c r="B6" t="s">
        <v>8</v>
      </c>
      <c r="C6" s="6">
        <v>10</v>
      </c>
      <c r="D6" s="75">
        <f>(SUM(E15:E15)+E27-E7)/C6/(1-D16)</f>
        <v>205.19092727272727</v>
      </c>
      <c r="E6" s="9">
        <f>C6*D6</f>
        <v>2051.9092727272728</v>
      </c>
      <c r="G6" t="s">
        <v>116</v>
      </c>
      <c r="H6" s="12"/>
    </row>
    <row r="7" spans="1:8" x14ac:dyDescent="0.2">
      <c r="A7" s="24" t="s">
        <v>61</v>
      </c>
      <c r="B7" s="24"/>
      <c r="C7" s="24"/>
      <c r="D7" s="74"/>
      <c r="E7" s="28"/>
      <c r="F7" s="24"/>
      <c r="G7" s="24"/>
      <c r="H7" s="12"/>
    </row>
    <row r="8" spans="1:8" x14ac:dyDescent="0.2">
      <c r="A8" s="7" t="s">
        <v>118</v>
      </c>
      <c r="D8" s="4"/>
      <c r="E8" s="9">
        <f>SUM(E6:E7)</f>
        <v>2051.9092727272728</v>
      </c>
    </row>
    <row r="9" spans="1:8" x14ac:dyDescent="0.2">
      <c r="D9" s="4"/>
      <c r="E9" s="9"/>
    </row>
    <row r="10" spans="1:8" x14ac:dyDescent="0.2">
      <c r="A10" s="7" t="s">
        <v>9</v>
      </c>
      <c r="D10" s="4"/>
      <c r="E10" s="9"/>
    </row>
    <row r="11" spans="1:8" x14ac:dyDescent="0.2">
      <c r="A11" s="80" t="s">
        <v>10</v>
      </c>
      <c r="B11" s="17" t="s">
        <v>11</v>
      </c>
      <c r="C11" s="17">
        <f>C41</f>
        <v>1.5</v>
      </c>
      <c r="D11" s="19">
        <f>Grunduppgifter!B25</f>
        <v>283</v>
      </c>
      <c r="E11" s="19">
        <f>C11*D11</f>
        <v>424.5</v>
      </c>
      <c r="F11" s="17"/>
      <c r="G11" s="17"/>
    </row>
    <row r="12" spans="1:8" x14ac:dyDescent="0.2">
      <c r="A12" s="17" t="s">
        <v>65</v>
      </c>
      <c r="B12" s="17"/>
      <c r="C12" s="17">
        <v>1</v>
      </c>
      <c r="D12" s="19">
        <f>E49</f>
        <v>209.60000000000002</v>
      </c>
      <c r="E12" s="19">
        <f>C12*D12</f>
        <v>209.60000000000002</v>
      </c>
      <c r="F12" s="17"/>
      <c r="G12" s="17"/>
      <c r="H12" s="4"/>
    </row>
    <row r="13" spans="1:8" x14ac:dyDescent="0.2">
      <c r="A13" s="17" t="s">
        <v>135</v>
      </c>
      <c r="B13" s="17" t="s">
        <v>11</v>
      </c>
      <c r="C13" s="17">
        <f>E41</f>
        <v>1.2</v>
      </c>
      <c r="D13" s="19">
        <f>Grunduppgifter!B30</f>
        <v>100</v>
      </c>
      <c r="E13" s="19">
        <f>C13*D13</f>
        <v>120</v>
      </c>
      <c r="F13" s="17"/>
      <c r="G13" s="17"/>
    </row>
    <row r="14" spans="1:8" x14ac:dyDescent="0.2">
      <c r="A14" s="88" t="s">
        <v>18</v>
      </c>
      <c r="B14" s="60"/>
      <c r="C14" s="59">
        <f>SUM(E11:E13)</f>
        <v>754.1</v>
      </c>
      <c r="D14" s="61">
        <f>Grunduppgifter!B69</f>
        <v>0.02</v>
      </c>
      <c r="E14" s="79">
        <f>C14*D14</f>
        <v>15.082000000000001</v>
      </c>
      <c r="F14" s="60"/>
      <c r="G14" s="60"/>
    </row>
    <row r="15" spans="1:8" s="7" customFormat="1" x14ac:dyDescent="0.2">
      <c r="A15" s="86" t="s">
        <v>117</v>
      </c>
      <c r="B15" s="86"/>
      <c r="C15" s="86"/>
      <c r="D15" s="94"/>
      <c r="E15" s="48">
        <f>SUM(E11:E14)</f>
        <v>769.18200000000002</v>
      </c>
      <c r="F15" s="86"/>
      <c r="G15" s="86"/>
    </row>
    <row r="16" spans="1:8" x14ac:dyDescent="0.2">
      <c r="A16" s="17"/>
      <c r="B16" s="78"/>
      <c r="C16" s="19"/>
      <c r="D16" s="78"/>
      <c r="E16" s="19"/>
      <c r="F16" s="17"/>
      <c r="G16" s="17"/>
      <c r="H16" s="34"/>
    </row>
    <row r="17" spans="1:9" s="7" customFormat="1" x14ac:dyDescent="0.2">
      <c r="A17" s="86" t="s">
        <v>21</v>
      </c>
      <c r="B17" s="86"/>
      <c r="C17" s="86"/>
      <c r="D17" s="86"/>
      <c r="E17" s="48">
        <f>E8-E15</f>
        <v>1282.7272727272727</v>
      </c>
      <c r="F17" s="86"/>
      <c r="G17" s="86"/>
    </row>
    <row r="18" spans="1:9" x14ac:dyDescent="0.2">
      <c r="A18" s="89"/>
      <c r="B18" s="17"/>
      <c r="C18" s="17"/>
      <c r="D18" s="17"/>
      <c r="E18" s="19"/>
      <c r="F18" s="17"/>
      <c r="G18" s="17"/>
    </row>
    <row r="19" spans="1:9" x14ac:dyDescent="0.2">
      <c r="A19" s="86" t="s">
        <v>241</v>
      </c>
      <c r="B19" s="17"/>
      <c r="C19" s="17"/>
      <c r="D19" s="17"/>
      <c r="E19" s="19"/>
      <c r="F19" s="17"/>
      <c r="G19" s="17"/>
    </row>
    <row r="20" spans="1:9" x14ac:dyDescent="0.2">
      <c r="A20" s="80" t="s">
        <v>22</v>
      </c>
      <c r="B20" s="17"/>
      <c r="C20" s="17">
        <v>0.1</v>
      </c>
      <c r="D20" s="16">
        <v>2600</v>
      </c>
      <c r="E20" s="16">
        <f>C20*D20</f>
        <v>260</v>
      </c>
      <c r="F20" s="17"/>
      <c r="G20" s="17" t="s">
        <v>112</v>
      </c>
    </row>
    <row r="21" spans="1:9" x14ac:dyDescent="0.2">
      <c r="A21" s="17" t="s">
        <v>23</v>
      </c>
      <c r="B21" s="17"/>
      <c r="C21" s="17"/>
      <c r="D21" s="19"/>
      <c r="E21" s="19"/>
      <c r="F21" s="17"/>
      <c r="G21" s="17"/>
    </row>
    <row r="22" spans="1:9" x14ac:dyDescent="0.2">
      <c r="A22" s="17" t="s">
        <v>24</v>
      </c>
      <c r="B22" s="17"/>
      <c r="C22" s="17"/>
      <c r="D22" s="19"/>
      <c r="E22" s="19"/>
      <c r="F22" s="17"/>
      <c r="G22" s="17"/>
    </row>
    <row r="23" spans="1:9" x14ac:dyDescent="0.2">
      <c r="A23" s="17" t="s">
        <v>25</v>
      </c>
      <c r="B23" s="17"/>
      <c r="C23" s="17">
        <v>0.1</v>
      </c>
      <c r="D23" s="16">
        <f>Grunduppgifter!B60</f>
        <v>6000</v>
      </c>
      <c r="E23" s="16">
        <f>C23*D23</f>
        <v>600</v>
      </c>
      <c r="F23" s="17"/>
      <c r="G23" s="17"/>
    </row>
    <row r="24" spans="1:9" x14ac:dyDescent="0.2">
      <c r="A24" s="80" t="s">
        <v>400</v>
      </c>
      <c r="B24" s="17"/>
      <c r="C24" s="91">
        <f>0.1/Grunduppgifter!B20</f>
        <v>3.3333333333333333E-2</v>
      </c>
      <c r="D24" s="16">
        <f>Grunduppgifter!B64</f>
        <v>4500</v>
      </c>
      <c r="E24" s="19">
        <f>C24*D24</f>
        <v>150</v>
      </c>
      <c r="F24" s="17"/>
      <c r="G24" s="17"/>
    </row>
    <row r="25" spans="1:9" s="185" customFormat="1" x14ac:dyDescent="0.2">
      <c r="A25" s="185" t="s">
        <v>121</v>
      </c>
      <c r="B25" s="17"/>
      <c r="C25" s="191">
        <v>0.1</v>
      </c>
      <c r="D25" s="16">
        <f>Grunduppgifter!B67/(20*Grunduppgifter!B21+(Grunduppgifter!B20-Grunduppgifter!B21))</f>
        <v>1363.6363636363637</v>
      </c>
      <c r="E25" s="19">
        <f>C25*D25</f>
        <v>136.36363636363637</v>
      </c>
      <c r="F25" s="17"/>
      <c r="G25" s="17"/>
    </row>
    <row r="26" spans="1:9" x14ac:dyDescent="0.2">
      <c r="A26" s="88" t="s">
        <v>215</v>
      </c>
      <c r="B26" s="60"/>
      <c r="C26" s="60">
        <v>0.1</v>
      </c>
      <c r="D26" s="59">
        <f>Grunduppgifter!B68/(20*Grunduppgifter!B21+(Grunduppgifter!B20-Grunduppgifter!B21))</f>
        <v>1363.6363636363637</v>
      </c>
      <c r="E26" s="79">
        <f>C26*D26</f>
        <v>136.36363636363637</v>
      </c>
      <c r="F26" s="60"/>
      <c r="G26" s="60"/>
    </row>
    <row r="27" spans="1:9" s="7" customFormat="1" x14ac:dyDescent="0.2">
      <c r="A27" s="87" t="s">
        <v>424</v>
      </c>
      <c r="B27" s="86"/>
      <c r="C27" s="86"/>
      <c r="D27" s="86"/>
      <c r="E27" s="48">
        <f>SUM(E20:E26)</f>
        <v>1282.727272727273</v>
      </c>
      <c r="F27" s="86"/>
      <c r="G27" s="86"/>
    </row>
    <row r="28" spans="1:9" x14ac:dyDescent="0.2">
      <c r="A28" s="8"/>
      <c r="E28" s="13"/>
    </row>
    <row r="29" spans="1:9" x14ac:dyDescent="0.2">
      <c r="A29" s="1" t="s">
        <v>0</v>
      </c>
      <c r="E29" s="9">
        <f>E17-E27</f>
        <v>0</v>
      </c>
    </row>
    <row r="30" spans="1:9" x14ac:dyDescent="0.2">
      <c r="A30" s="1"/>
      <c r="G30" s="17"/>
      <c r="H30" s="17"/>
      <c r="I30" s="17"/>
    </row>
    <row r="31" spans="1:9" x14ac:dyDescent="0.2">
      <c r="A31" s="7" t="s">
        <v>91</v>
      </c>
      <c r="E31" s="45">
        <f>E8/2</f>
        <v>1025.9546363636364</v>
      </c>
      <c r="G31" s="47"/>
      <c r="H31" s="47"/>
      <c r="I31" s="47"/>
    </row>
    <row r="32" spans="1:9" x14ac:dyDescent="0.2">
      <c r="A32" s="7"/>
      <c r="E32" s="9"/>
      <c r="G32" s="47"/>
      <c r="H32" s="47"/>
      <c r="I32" s="47"/>
    </row>
    <row r="33" spans="1:9" x14ac:dyDescent="0.2">
      <c r="A33" s="63"/>
      <c r="B33" s="63"/>
      <c r="C33" s="63"/>
      <c r="D33" s="63"/>
      <c r="E33" s="64"/>
      <c r="F33" s="63"/>
      <c r="G33" s="65"/>
      <c r="H33" s="65"/>
      <c r="I33" s="47"/>
    </row>
    <row r="34" spans="1:9" x14ac:dyDescent="0.2">
      <c r="A34" s="66" t="s">
        <v>26</v>
      </c>
      <c r="B34" s="67"/>
      <c r="C34" s="67"/>
      <c r="D34" s="67"/>
      <c r="E34" s="67"/>
      <c r="F34" s="67"/>
      <c r="G34" s="68"/>
      <c r="H34" s="69"/>
    </row>
    <row r="35" spans="1:9" x14ac:dyDescent="0.2">
      <c r="A35" s="63"/>
      <c r="B35" s="63"/>
      <c r="C35" s="70" t="s">
        <v>28</v>
      </c>
      <c r="D35" s="70"/>
      <c r="E35" s="70" t="s">
        <v>29</v>
      </c>
      <c r="F35" s="70"/>
      <c r="G35" s="68"/>
      <c r="H35" s="69"/>
    </row>
    <row r="36" spans="1:9" x14ac:dyDescent="0.2">
      <c r="A36" s="67" t="s">
        <v>27</v>
      </c>
      <c r="B36" s="67"/>
      <c r="C36" s="71" t="s">
        <v>31</v>
      </c>
      <c r="D36" s="71" t="s">
        <v>32</v>
      </c>
      <c r="E36" s="71" t="s">
        <v>31</v>
      </c>
      <c r="F36" s="71" t="s">
        <v>32</v>
      </c>
      <c r="G36" s="68"/>
      <c r="H36" s="69"/>
    </row>
    <row r="37" spans="1:9" x14ac:dyDescent="0.2">
      <c r="A37" s="63" t="s">
        <v>82</v>
      </c>
      <c r="B37" s="63" t="s">
        <v>11</v>
      </c>
      <c r="C37" s="63">
        <v>0.5</v>
      </c>
      <c r="D37" s="63"/>
      <c r="E37" s="63">
        <v>0.5</v>
      </c>
      <c r="F37" s="63"/>
      <c r="G37" s="68"/>
      <c r="H37" s="69"/>
    </row>
    <row r="38" spans="1:9" x14ac:dyDescent="0.2">
      <c r="A38" s="63" t="s">
        <v>33</v>
      </c>
      <c r="B38" s="63" t="s">
        <v>11</v>
      </c>
      <c r="C38" s="63"/>
      <c r="D38" s="63"/>
      <c r="E38" s="63"/>
      <c r="F38" s="63"/>
      <c r="G38" s="68"/>
      <c r="H38" s="69"/>
    </row>
    <row r="39" spans="1:9" x14ac:dyDescent="0.2">
      <c r="A39" s="63" t="s">
        <v>53</v>
      </c>
      <c r="B39" s="63" t="s">
        <v>11</v>
      </c>
      <c r="C39" s="63">
        <v>0.5</v>
      </c>
      <c r="D39" s="63"/>
      <c r="E39" s="63">
        <v>0.5</v>
      </c>
      <c r="F39" s="63"/>
      <c r="G39" s="68"/>
      <c r="H39" s="69"/>
    </row>
    <row r="40" spans="1:9" x14ac:dyDescent="0.2">
      <c r="A40" s="67" t="s">
        <v>17</v>
      </c>
      <c r="B40" s="67" t="s">
        <v>11</v>
      </c>
      <c r="C40" s="67">
        <v>0.5</v>
      </c>
      <c r="D40" s="67"/>
      <c r="E40" s="67">
        <v>0.2</v>
      </c>
      <c r="F40" s="67"/>
      <c r="G40" s="68"/>
      <c r="H40" s="69"/>
    </row>
    <row r="41" spans="1:9" s="7" customFormat="1" x14ac:dyDescent="0.2">
      <c r="A41" s="72" t="s">
        <v>1</v>
      </c>
      <c r="B41" s="72" t="s">
        <v>11</v>
      </c>
      <c r="C41" s="72">
        <f>SUM(C37:C40)</f>
        <v>1.5</v>
      </c>
      <c r="D41" s="72">
        <f>SUM(D37:D40)</f>
        <v>0</v>
      </c>
      <c r="E41" s="72">
        <f>SUM(E37:E40)</f>
        <v>1.2</v>
      </c>
      <c r="F41" s="72">
        <f>SUM(F37:F40)</f>
        <v>0</v>
      </c>
      <c r="G41" s="73"/>
      <c r="H41" s="69"/>
    </row>
    <row r="42" spans="1:9" x14ac:dyDescent="0.2">
      <c r="A42" s="63"/>
      <c r="B42" s="63"/>
      <c r="C42" s="63"/>
      <c r="D42" s="63"/>
      <c r="E42" s="63"/>
      <c r="F42" s="63"/>
      <c r="G42" s="63"/>
      <c r="H42" s="63"/>
    </row>
    <row r="45" spans="1:9" x14ac:dyDescent="0.2">
      <c r="A45" s="187" t="s">
        <v>395</v>
      </c>
      <c r="B45" s="29" t="s">
        <v>122</v>
      </c>
      <c r="C45" s="188" t="s">
        <v>6</v>
      </c>
      <c r="D45" s="188" t="s">
        <v>115</v>
      </c>
      <c r="E45" s="188" t="s">
        <v>7</v>
      </c>
    </row>
    <row r="46" spans="1:9" ht="15" x14ac:dyDescent="0.2">
      <c r="A46" s="189" t="s">
        <v>396</v>
      </c>
      <c r="B46" s="184" t="s">
        <v>14</v>
      </c>
      <c r="C46" s="185">
        <v>0.8</v>
      </c>
      <c r="D46" s="12">
        <v>127</v>
      </c>
      <c r="E46" s="13">
        <f>C46*D46</f>
        <v>101.60000000000001</v>
      </c>
    </row>
    <row r="47" spans="1:9" ht="15" x14ac:dyDescent="0.2">
      <c r="A47" s="189" t="s">
        <v>397</v>
      </c>
      <c r="B47" s="184" t="s">
        <v>14</v>
      </c>
      <c r="C47" s="185">
        <v>1</v>
      </c>
      <c r="D47" s="12">
        <v>60</v>
      </c>
      <c r="E47" s="13">
        <f t="shared" ref="E47:E48" si="0">C47*D47</f>
        <v>60</v>
      </c>
    </row>
    <row r="48" spans="1:9" ht="15" x14ac:dyDescent="0.2">
      <c r="A48" s="190" t="s">
        <v>398</v>
      </c>
      <c r="B48" s="29" t="s">
        <v>14</v>
      </c>
      <c r="C48" s="24">
        <v>8</v>
      </c>
      <c r="D48" s="74">
        <v>6</v>
      </c>
      <c r="E48" s="26">
        <f t="shared" si="0"/>
        <v>48</v>
      </c>
    </row>
    <row r="49" spans="1:5" ht="15" x14ac:dyDescent="0.2">
      <c r="A49" s="189" t="s">
        <v>1</v>
      </c>
      <c r="B49" s="185"/>
      <c r="C49" s="185"/>
      <c r="D49" s="185"/>
      <c r="E49" s="13">
        <f>SUM(E46:E48)</f>
        <v>209.60000000000002</v>
      </c>
    </row>
  </sheetData>
  <phoneticPr fontId="0" type="noConversion"/>
  <printOptions gridLines="1" gridLinesSet="0"/>
  <pageMargins left="0.75" right="0.26" top="0.5" bottom="0.32" header="0.25" footer="0.27"/>
  <pageSetup paperSize="9" scale="80" orientation="portrait" horizontalDpi="4294967292" r:id="rId1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E6ED7-382E-4243-8AB5-3C2F27EC8D25}">
  <sheetPr>
    <tabColor rgb="FFFFFF00"/>
  </sheetPr>
  <dimension ref="A1:I41"/>
  <sheetViews>
    <sheetView zoomScaleNormal="100" workbookViewId="0">
      <selection activeCell="H38" sqref="H38"/>
    </sheetView>
  </sheetViews>
  <sheetFormatPr defaultRowHeight="12.75" x14ac:dyDescent="0.2"/>
  <cols>
    <col min="1" max="1" width="28.140625" style="203" customWidth="1"/>
    <col min="2" max="2" width="10.5703125" style="203" customWidth="1"/>
    <col min="3" max="3" width="9.140625" style="203"/>
    <col min="4" max="4" width="11" style="203" bestFit="1" customWidth="1"/>
    <col min="5" max="5" width="9.140625" style="203"/>
    <col min="6" max="6" width="9.42578125" style="203" customWidth="1"/>
    <col min="7" max="8" width="9.140625" style="203"/>
    <col min="9" max="9" width="7.5703125" style="203" customWidth="1"/>
    <col min="10" max="16384" width="9.140625" style="203"/>
  </cols>
  <sheetData>
    <row r="1" spans="1:8" s="21" customFormat="1" ht="15.75" x14ac:dyDescent="0.25">
      <c r="A1" s="20"/>
      <c r="B1" s="20" t="s">
        <v>423</v>
      </c>
      <c r="C1" s="20"/>
      <c r="E1" s="20" t="s">
        <v>422</v>
      </c>
    </row>
    <row r="3" spans="1:8" x14ac:dyDescent="0.2">
      <c r="A3" s="203" t="s">
        <v>2</v>
      </c>
      <c r="B3" s="11">
        <v>1</v>
      </c>
      <c r="C3" s="203" t="s">
        <v>3</v>
      </c>
    </row>
    <row r="4" spans="1:8" x14ac:dyDescent="0.2">
      <c r="B4" s="202"/>
      <c r="C4" s="3"/>
    </row>
    <row r="5" spans="1:8" s="1" customFormat="1" x14ac:dyDescent="0.2">
      <c r="A5" s="187"/>
      <c r="B5" s="187"/>
      <c r="C5" s="216" t="s">
        <v>6</v>
      </c>
      <c r="D5" s="216" t="s">
        <v>115</v>
      </c>
      <c r="E5" s="216" t="s">
        <v>7</v>
      </c>
    </row>
    <row r="6" spans="1:8" s="1" customFormat="1" x14ac:dyDescent="0.2">
      <c r="A6" s="1" t="s">
        <v>5</v>
      </c>
      <c r="C6" s="215"/>
      <c r="D6" s="215"/>
      <c r="E6" s="215"/>
    </row>
    <row r="7" spans="1:8" x14ac:dyDescent="0.2">
      <c r="A7" s="203" t="s">
        <v>83</v>
      </c>
      <c r="B7" s="203" t="s">
        <v>14</v>
      </c>
      <c r="C7" s="203">
        <v>5000</v>
      </c>
      <c r="D7" s="12">
        <f>(SUM(E16:E17)+E27-E8)/C7</f>
        <v>2.9017411113301832</v>
      </c>
      <c r="E7" s="13">
        <f>C7*D7</f>
        <v>14508.705556650915</v>
      </c>
      <c r="H7" s="12"/>
    </row>
    <row r="8" spans="1:8" x14ac:dyDescent="0.2">
      <c r="A8" s="24" t="s">
        <v>61</v>
      </c>
      <c r="B8" s="24"/>
      <c r="C8" s="24">
        <v>1</v>
      </c>
      <c r="D8" s="74">
        <f>Grunduppgifter!B62</f>
        <v>1500</v>
      </c>
      <c r="E8" s="26">
        <f>C8*D8</f>
        <v>1500</v>
      </c>
      <c r="H8" s="12"/>
    </row>
    <row r="9" spans="1:8" x14ac:dyDescent="0.2">
      <c r="A9" s="1" t="s">
        <v>118</v>
      </c>
      <c r="D9" s="4"/>
      <c r="E9" s="214">
        <f>SUM(E7:E8)</f>
        <v>16008.705556650915</v>
      </c>
    </row>
    <row r="10" spans="1:8" x14ac:dyDescent="0.2">
      <c r="D10" s="4"/>
      <c r="E10" s="9"/>
    </row>
    <row r="11" spans="1:8" x14ac:dyDescent="0.2">
      <c r="A11" s="1" t="s">
        <v>9</v>
      </c>
      <c r="D11" s="4"/>
      <c r="E11" s="9"/>
    </row>
    <row r="12" spans="1:8" x14ac:dyDescent="0.2">
      <c r="A12" s="202" t="s">
        <v>10</v>
      </c>
      <c r="B12" s="203" t="s">
        <v>11</v>
      </c>
      <c r="C12" s="203">
        <f>C39</f>
        <v>3</v>
      </c>
      <c r="D12" s="9">
        <v>200</v>
      </c>
      <c r="E12" s="9">
        <f>C12*D12</f>
        <v>600</v>
      </c>
    </row>
    <row r="13" spans="1:8" x14ac:dyDescent="0.2">
      <c r="A13" s="203" t="s">
        <v>421</v>
      </c>
      <c r="B13" s="203" t="s">
        <v>14</v>
      </c>
      <c r="C13" s="203">
        <v>12</v>
      </c>
      <c r="D13" s="9">
        <v>32</v>
      </c>
      <c r="E13" s="9">
        <f>C13*D13</f>
        <v>384</v>
      </c>
      <c r="H13" s="4"/>
    </row>
    <row r="14" spans="1:8" x14ac:dyDescent="0.2">
      <c r="A14" s="203" t="s">
        <v>119</v>
      </c>
      <c r="B14" s="203" t="s">
        <v>11</v>
      </c>
      <c r="C14" s="203">
        <f>E39</f>
        <v>2</v>
      </c>
      <c r="D14" s="9">
        <v>120</v>
      </c>
      <c r="E14" s="9">
        <f>C14*D14</f>
        <v>240</v>
      </c>
    </row>
    <row r="15" spans="1:8" x14ac:dyDescent="0.2">
      <c r="A15" s="29" t="s">
        <v>18</v>
      </c>
      <c r="B15" s="24"/>
      <c r="C15" s="26">
        <f>SUM(E12:E14)</f>
        <v>1224</v>
      </c>
      <c r="D15" s="27">
        <f>Grunduppgifter!B69</f>
        <v>0.02</v>
      </c>
      <c r="E15" s="28">
        <f>C15*D15</f>
        <v>24.48</v>
      </c>
    </row>
    <row r="16" spans="1:8" x14ac:dyDescent="0.2">
      <c r="A16" s="1" t="s">
        <v>117</v>
      </c>
      <c r="D16" s="4"/>
      <c r="E16" s="214">
        <f>SUM(E12:E15)</f>
        <v>1248.48</v>
      </c>
    </row>
    <row r="17" spans="1:9" x14ac:dyDescent="0.2">
      <c r="A17" s="1"/>
      <c r="D17" s="4"/>
      <c r="E17" s="9"/>
    </row>
    <row r="18" spans="1:9" x14ac:dyDescent="0.2">
      <c r="A18" s="1" t="s">
        <v>21</v>
      </c>
      <c r="E18" s="214">
        <f>E9-E16</f>
        <v>14760.225556650916</v>
      </c>
    </row>
    <row r="19" spans="1:9" x14ac:dyDescent="0.2">
      <c r="A19" s="1"/>
      <c r="E19" s="9"/>
    </row>
    <row r="20" spans="1:9" x14ac:dyDescent="0.2">
      <c r="A20" s="1" t="s">
        <v>241</v>
      </c>
      <c r="E20" s="9"/>
    </row>
    <row r="21" spans="1:9" x14ac:dyDescent="0.2">
      <c r="A21" s="202" t="s">
        <v>22</v>
      </c>
      <c r="C21" s="203">
        <v>1</v>
      </c>
      <c r="D21" s="13">
        <f>'Maskiner 1'!C30+'Maskiner 1'!D30</f>
        <v>5987.9528293781896</v>
      </c>
      <c r="E21" s="13">
        <f t="shared" ref="E21:E26" si="0">C21*D21</f>
        <v>5987.9528293781896</v>
      </c>
    </row>
    <row r="22" spans="1:9" x14ac:dyDescent="0.2">
      <c r="A22" s="203" t="s">
        <v>420</v>
      </c>
      <c r="C22" s="203">
        <v>0</v>
      </c>
      <c r="D22" s="9">
        <v>0</v>
      </c>
      <c r="E22" s="9">
        <f t="shared" si="0"/>
        <v>0</v>
      </c>
    </row>
    <row r="23" spans="1:9" x14ac:dyDescent="0.2">
      <c r="A23" s="203" t="s">
        <v>25</v>
      </c>
      <c r="C23" s="203">
        <v>1</v>
      </c>
      <c r="D23" s="13">
        <f>Grunduppgifter!B60</f>
        <v>6000</v>
      </c>
      <c r="E23" s="13">
        <f t="shared" si="0"/>
        <v>6000</v>
      </c>
    </row>
    <row r="24" spans="1:9" x14ac:dyDescent="0.2">
      <c r="A24" s="203" t="s">
        <v>419</v>
      </c>
      <c r="C24" s="203">
        <v>0.01</v>
      </c>
      <c r="D24" s="13">
        <f>Grunduppgifter!B64</f>
        <v>4500</v>
      </c>
      <c r="E24" s="9">
        <f t="shared" si="0"/>
        <v>45</v>
      </c>
    </row>
    <row r="25" spans="1:9" x14ac:dyDescent="0.2">
      <c r="A25" s="202" t="s">
        <v>418</v>
      </c>
      <c r="C25" s="203">
        <v>1</v>
      </c>
      <c r="D25" s="13">
        <f>Grunduppgifter!B67/(20*Grunduppgifter!B21+(Grunduppgifter!B20-Grunduppgifter!B21))</f>
        <v>1363.6363636363637</v>
      </c>
      <c r="E25" s="9">
        <f t="shared" si="0"/>
        <v>1363.6363636363637</v>
      </c>
    </row>
    <row r="26" spans="1:9" x14ac:dyDescent="0.2">
      <c r="A26" s="29" t="s">
        <v>215</v>
      </c>
      <c r="B26" s="24"/>
      <c r="C26" s="24">
        <v>1</v>
      </c>
      <c r="D26" s="26">
        <f>Grunduppgifter!B68/(20*Grunduppgifter!B21+(Grunduppgifter!B20-Grunduppgifter!B21))</f>
        <v>1363.6363636363637</v>
      </c>
      <c r="E26" s="28">
        <f t="shared" si="0"/>
        <v>1363.6363636363637</v>
      </c>
    </row>
    <row r="27" spans="1:9" s="1" customFormat="1" x14ac:dyDescent="0.2">
      <c r="A27" s="8" t="s">
        <v>424</v>
      </c>
      <c r="E27" s="214">
        <f>SUM(E21:E26)</f>
        <v>14760.225556650917</v>
      </c>
    </row>
    <row r="28" spans="1:9" s="1" customFormat="1" x14ac:dyDescent="0.2">
      <c r="A28" s="8"/>
      <c r="E28" s="214"/>
    </row>
    <row r="29" spans="1:9" s="1" customFormat="1" x14ac:dyDescent="0.2">
      <c r="A29" s="1" t="s">
        <v>0</v>
      </c>
      <c r="E29" s="213">
        <f>E18-E27</f>
        <v>0</v>
      </c>
    </row>
    <row r="30" spans="1:9" x14ac:dyDescent="0.2">
      <c r="A30" s="1"/>
    </row>
    <row r="31" spans="1:9" s="1" customFormat="1" x14ac:dyDescent="0.2">
      <c r="A31" s="207"/>
      <c r="B31" s="207"/>
      <c r="C31" s="207"/>
      <c r="D31" s="207"/>
      <c r="E31" s="212"/>
      <c r="F31" s="207"/>
      <c r="G31" s="207"/>
      <c r="H31" s="207"/>
      <c r="I31" s="207"/>
    </row>
    <row r="32" spans="1:9" x14ac:dyDescent="0.2">
      <c r="A32" s="206" t="s">
        <v>417</v>
      </c>
      <c r="B32" s="206"/>
      <c r="C32" s="206"/>
      <c r="D32" s="206"/>
      <c r="E32" s="211"/>
      <c r="F32" s="206"/>
      <c r="G32" s="206"/>
      <c r="H32" s="206"/>
      <c r="I32" s="206"/>
    </row>
    <row r="33" spans="1:9" x14ac:dyDescent="0.2">
      <c r="A33" s="210" t="s">
        <v>26</v>
      </c>
      <c r="B33" s="209"/>
      <c r="C33" s="209"/>
      <c r="D33" s="209"/>
      <c r="E33" s="209"/>
      <c r="F33" s="209"/>
      <c r="G33" s="206"/>
      <c r="H33" s="208"/>
      <c r="I33" s="206"/>
    </row>
    <row r="34" spans="1:9" s="1" customFormat="1" x14ac:dyDescent="0.2">
      <c r="A34" s="207"/>
      <c r="B34" s="207"/>
      <c r="C34" s="207" t="s">
        <v>28</v>
      </c>
      <c r="D34" s="207"/>
      <c r="E34" s="207" t="s">
        <v>29</v>
      </c>
      <c r="F34" s="207"/>
      <c r="G34" s="207"/>
      <c r="H34" s="208"/>
      <c r="I34" s="207"/>
    </row>
    <row r="35" spans="1:9" s="1" customFormat="1" x14ac:dyDescent="0.2">
      <c r="A35" s="210" t="s">
        <v>27</v>
      </c>
      <c r="B35" s="210"/>
      <c r="C35" s="210" t="s">
        <v>246</v>
      </c>
      <c r="D35" s="210"/>
      <c r="E35" s="210" t="s">
        <v>246</v>
      </c>
      <c r="F35" s="210"/>
      <c r="G35" s="207"/>
      <c r="H35" s="208"/>
      <c r="I35" s="207"/>
    </row>
    <row r="36" spans="1:9" x14ac:dyDescent="0.2">
      <c r="A36" s="206" t="s">
        <v>82</v>
      </c>
      <c r="B36" s="206"/>
      <c r="C36" s="206">
        <v>1</v>
      </c>
      <c r="D36" s="206"/>
      <c r="E36" s="206">
        <v>1</v>
      </c>
      <c r="F36" s="206"/>
      <c r="G36" s="206"/>
      <c r="H36" s="208"/>
      <c r="I36" s="206"/>
    </row>
    <row r="37" spans="1:9" x14ac:dyDescent="0.2">
      <c r="A37" s="206" t="s">
        <v>53</v>
      </c>
      <c r="B37" s="206"/>
      <c r="C37" s="206">
        <v>0.5</v>
      </c>
      <c r="D37" s="206"/>
      <c r="E37" s="206">
        <v>0.5</v>
      </c>
      <c r="F37" s="206"/>
      <c r="G37" s="206"/>
      <c r="H37" s="208"/>
      <c r="I37" s="206"/>
    </row>
    <row r="38" spans="1:9" x14ac:dyDescent="0.2">
      <c r="A38" s="209" t="s">
        <v>17</v>
      </c>
      <c r="B38" s="209"/>
      <c r="C38" s="209">
        <v>1.5</v>
      </c>
      <c r="D38" s="209"/>
      <c r="E38" s="209">
        <v>0.5</v>
      </c>
      <c r="F38" s="209"/>
      <c r="G38" s="206"/>
      <c r="H38" s="208"/>
      <c r="I38" s="206"/>
    </row>
    <row r="39" spans="1:9" s="1" customFormat="1" x14ac:dyDescent="0.2">
      <c r="A39" s="207" t="s">
        <v>1</v>
      </c>
      <c r="B39" s="207"/>
      <c r="C39" s="207">
        <f>SUM(C36:C38)</f>
        <v>3</v>
      </c>
      <c r="D39" s="207"/>
      <c r="E39" s="207">
        <f>SUM(E36:E38)</f>
        <v>2</v>
      </c>
      <c r="F39" s="207"/>
      <c r="G39" s="207"/>
      <c r="H39" s="208"/>
      <c r="I39" s="207"/>
    </row>
    <row r="40" spans="1:9" x14ac:dyDescent="0.2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x14ac:dyDescent="0.2">
      <c r="A41" s="206"/>
      <c r="B41" s="206"/>
      <c r="C41" s="206"/>
      <c r="D41" s="206"/>
      <c r="E41" s="206"/>
      <c r="F41" s="206"/>
      <c r="G41" s="206"/>
      <c r="H41" s="206"/>
      <c r="I41" s="206"/>
    </row>
  </sheetData>
  <printOptions gridLines="1" gridLinesSet="0"/>
  <pageMargins left="0.75" right="0.26" top="0.5" bottom="0.32" header="0.25" footer="0.27"/>
  <pageSetup paperSize="9" scale="90" orientation="portrait" horizontalDpi="4294967292" r:id="rId1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2"/>
  <sheetViews>
    <sheetView zoomScaleNormal="100" workbookViewId="0">
      <selection activeCell="J19" sqref="J19"/>
    </sheetView>
  </sheetViews>
  <sheetFormatPr defaultRowHeight="12.75" x14ac:dyDescent="0.2"/>
  <cols>
    <col min="1" max="1" width="23.5703125" customWidth="1"/>
    <col min="2" max="2" width="6" customWidth="1"/>
    <col min="3" max="3" width="9.7109375" customWidth="1"/>
    <col min="4" max="4" width="12.28515625" customWidth="1"/>
    <col min="5" max="5" width="14.7109375" customWidth="1"/>
    <col min="6" max="6" width="12.42578125" customWidth="1"/>
    <col min="7" max="7" width="1.85546875" customWidth="1"/>
    <col min="8" max="8" width="12.28515625" customWidth="1"/>
    <col min="9" max="9" width="1.7109375" customWidth="1"/>
    <col min="11" max="11" width="10.140625" customWidth="1"/>
  </cols>
  <sheetData>
    <row r="1" spans="1:11" s="21" customFormat="1" ht="15.75" x14ac:dyDescent="0.25">
      <c r="A1" s="20" t="s">
        <v>143</v>
      </c>
      <c r="C1" s="20" t="s">
        <v>103</v>
      </c>
    </row>
    <row r="3" spans="1:11" s="7" customFormat="1" x14ac:dyDescent="0.2">
      <c r="C3" s="57" t="s">
        <v>29</v>
      </c>
      <c r="D3" s="57" t="s">
        <v>74</v>
      </c>
      <c r="E3" s="57" t="s">
        <v>148</v>
      </c>
      <c r="F3" s="57" t="s">
        <v>76</v>
      </c>
      <c r="G3" s="50"/>
      <c r="H3" s="50" t="s">
        <v>34</v>
      </c>
      <c r="I3" s="50"/>
      <c r="J3" s="50" t="s">
        <v>57</v>
      </c>
      <c r="K3" s="7" t="s">
        <v>285</v>
      </c>
    </row>
    <row r="4" spans="1:11" ht="35.25" customHeight="1" x14ac:dyDescent="0.2">
      <c r="A4" s="24"/>
      <c r="B4" s="24"/>
      <c r="C4" s="82" t="s">
        <v>73</v>
      </c>
      <c r="D4" s="83" t="s">
        <v>110</v>
      </c>
      <c r="E4" s="83" t="s">
        <v>341</v>
      </c>
      <c r="F4" s="83" t="s">
        <v>109</v>
      </c>
      <c r="G4" s="25"/>
      <c r="H4" s="25"/>
      <c r="I4" s="25"/>
      <c r="J4" s="84" t="s">
        <v>137</v>
      </c>
      <c r="K4" s="135" t="s">
        <v>286</v>
      </c>
    </row>
    <row r="5" spans="1:11" x14ac:dyDescent="0.2">
      <c r="A5" t="s">
        <v>144</v>
      </c>
      <c r="C5" s="90" t="s">
        <v>146</v>
      </c>
      <c r="D5" s="90" t="s">
        <v>146</v>
      </c>
      <c r="E5" s="90" t="s">
        <v>145</v>
      </c>
      <c r="F5" s="90" t="s">
        <v>145</v>
      </c>
      <c r="G5" s="90"/>
      <c r="H5" s="90" t="s">
        <v>145</v>
      </c>
      <c r="I5" s="90"/>
      <c r="J5" s="90" t="s">
        <v>145</v>
      </c>
    </row>
    <row r="6" spans="1:11" x14ac:dyDescent="0.2">
      <c r="A6" t="s">
        <v>37</v>
      </c>
      <c r="B6" t="s">
        <v>3</v>
      </c>
      <c r="C6" s="17">
        <v>3</v>
      </c>
      <c r="D6" s="17">
        <v>3</v>
      </c>
      <c r="E6" s="17">
        <v>1</v>
      </c>
      <c r="F6" s="17">
        <v>1</v>
      </c>
      <c r="G6" s="17"/>
      <c r="H6" s="17">
        <v>1</v>
      </c>
      <c r="I6" s="17"/>
      <c r="J6" s="17">
        <v>1</v>
      </c>
      <c r="K6" s="17">
        <v>1</v>
      </c>
    </row>
    <row r="7" spans="1:11" x14ac:dyDescent="0.2">
      <c r="C7" s="17"/>
      <c r="D7" s="17"/>
      <c r="E7" s="17"/>
      <c r="F7" s="17"/>
      <c r="G7" s="17"/>
      <c r="H7" s="91"/>
      <c r="I7" s="17"/>
      <c r="J7" s="17"/>
    </row>
    <row r="8" spans="1:11" x14ac:dyDescent="0.2">
      <c r="A8" s="1" t="s">
        <v>39</v>
      </c>
      <c r="B8" t="s">
        <v>11</v>
      </c>
      <c r="C8" s="19">
        <v>100</v>
      </c>
      <c r="D8" s="19">
        <v>10</v>
      </c>
      <c r="E8" s="19">
        <v>200</v>
      </c>
      <c r="F8" s="19">
        <v>100</v>
      </c>
      <c r="G8" s="17"/>
      <c r="H8" s="19">
        <v>200</v>
      </c>
      <c r="I8" s="17"/>
      <c r="J8" s="17"/>
    </row>
    <row r="9" spans="1:11" x14ac:dyDescent="0.2">
      <c r="C9" s="17"/>
      <c r="D9" s="17"/>
      <c r="E9" s="17"/>
      <c r="F9" s="17"/>
      <c r="G9" s="17"/>
      <c r="H9" s="17"/>
      <c r="I9" s="17"/>
      <c r="J9" s="17"/>
    </row>
    <row r="10" spans="1:11" x14ac:dyDescent="0.2">
      <c r="A10" t="s">
        <v>40</v>
      </c>
      <c r="B10" t="s">
        <v>20</v>
      </c>
      <c r="C10" s="16">
        <v>50000</v>
      </c>
      <c r="D10" s="16">
        <v>50000</v>
      </c>
      <c r="E10" s="16">
        <v>25000</v>
      </c>
      <c r="F10" s="16">
        <v>30000</v>
      </c>
      <c r="G10" s="17"/>
      <c r="H10" s="16">
        <v>80000</v>
      </c>
      <c r="I10" s="17"/>
      <c r="J10" s="16">
        <v>50000</v>
      </c>
      <c r="K10" s="16">
        <v>200000</v>
      </c>
    </row>
    <row r="11" spans="1:11" x14ac:dyDescent="0.2">
      <c r="A11" t="s">
        <v>41</v>
      </c>
      <c r="B11" t="s">
        <v>42</v>
      </c>
      <c r="C11" s="17">
        <v>6</v>
      </c>
      <c r="D11" s="17">
        <v>6</v>
      </c>
      <c r="E11" s="17">
        <v>10</v>
      </c>
      <c r="F11" s="17">
        <v>10</v>
      </c>
      <c r="G11" s="17"/>
      <c r="H11" s="17">
        <v>10</v>
      </c>
      <c r="I11" s="17"/>
      <c r="J11" s="17">
        <v>10</v>
      </c>
      <c r="K11" s="17">
        <v>20</v>
      </c>
    </row>
    <row r="12" spans="1:11" x14ac:dyDescent="0.2">
      <c r="A12" t="s">
        <v>43</v>
      </c>
      <c r="B12" t="s">
        <v>20</v>
      </c>
      <c r="C12" s="16">
        <v>20000</v>
      </c>
      <c r="D12" s="16">
        <v>8000</v>
      </c>
      <c r="E12" s="16">
        <v>5000</v>
      </c>
      <c r="F12" s="16">
        <v>0</v>
      </c>
      <c r="G12" s="17"/>
      <c r="H12" s="16">
        <v>10000</v>
      </c>
      <c r="I12" s="17"/>
      <c r="J12" s="17"/>
    </row>
    <row r="13" spans="1:11" x14ac:dyDescent="0.2">
      <c r="A13" t="s">
        <v>107</v>
      </c>
      <c r="B13" t="s">
        <v>20</v>
      </c>
      <c r="C13" s="16">
        <f>(C10-C12)/C11</f>
        <v>5000</v>
      </c>
      <c r="D13" s="16">
        <f>(D10-D12)/D11</f>
        <v>7000</v>
      </c>
      <c r="E13" s="16">
        <f>(E10-E12)/E11</f>
        <v>2000</v>
      </c>
      <c r="F13" s="16">
        <f>(F10-F12)/F11</f>
        <v>3000</v>
      </c>
      <c r="G13" s="17"/>
      <c r="H13" s="16">
        <f>(H10-H12)/H11</f>
        <v>7000</v>
      </c>
      <c r="I13" s="17"/>
      <c r="J13" s="16">
        <f>(J10-J12)/J11</f>
        <v>5000</v>
      </c>
      <c r="K13" s="16">
        <f>(K10-K12)/K11</f>
        <v>10000</v>
      </c>
    </row>
    <row r="14" spans="1:11" x14ac:dyDescent="0.2">
      <c r="C14" s="17"/>
      <c r="D14" s="17"/>
      <c r="E14" s="17"/>
      <c r="F14" s="17"/>
      <c r="G14" s="17"/>
      <c r="H14" s="17"/>
      <c r="I14" s="17"/>
      <c r="J14" s="17"/>
    </row>
    <row r="15" spans="1:11" x14ac:dyDescent="0.2">
      <c r="A15" t="s">
        <v>44</v>
      </c>
      <c r="B15" t="s">
        <v>38</v>
      </c>
      <c r="C15" s="78">
        <f>Grunduppgifter!$B$71</f>
        <v>0.02</v>
      </c>
      <c r="D15" s="78">
        <f>Grunduppgifter!$B$71</f>
        <v>0.02</v>
      </c>
      <c r="E15" s="78">
        <f>Grunduppgifter!$B$71</f>
        <v>0.02</v>
      </c>
      <c r="F15" s="78">
        <f>Grunduppgifter!$B$71</f>
        <v>0.02</v>
      </c>
      <c r="G15" s="78"/>
      <c r="H15" s="78">
        <f>Grunduppgifter!$B$71</f>
        <v>0.02</v>
      </c>
      <c r="I15" s="78"/>
      <c r="J15" s="78">
        <f>Grunduppgifter!$B$71</f>
        <v>0.02</v>
      </c>
      <c r="K15" s="2">
        <f>Grunduppgifter!B70</f>
        <v>0.02</v>
      </c>
    </row>
    <row r="16" spans="1:11" x14ac:dyDescent="0.2">
      <c r="A16" t="s">
        <v>78</v>
      </c>
      <c r="C16" s="92">
        <f>C15/(1-(1+C15)^-C11)</f>
        <v>0.17852581233520237</v>
      </c>
      <c r="D16" s="92">
        <f>D15/(1-(1+D15)^-D11)</f>
        <v>0.17852581233520237</v>
      </c>
      <c r="E16" s="92">
        <f>E15/(1-(1+E15)^-E11)</f>
        <v>0.11132652786531649</v>
      </c>
      <c r="F16" s="92">
        <f>F15/(1-(1+F15)^-F11)</f>
        <v>0.11132652786531649</v>
      </c>
      <c r="G16" s="17"/>
      <c r="H16" s="92">
        <f>H15/(1-(1+H15)^-H11)</f>
        <v>0.11132652786531649</v>
      </c>
      <c r="I16" s="17"/>
      <c r="J16" s="92">
        <f>J15/(1-(1+J15)^-J11)</f>
        <v>0.11132652786531649</v>
      </c>
      <c r="K16" s="92">
        <f>K15/(1-(1+K15)^-K11)</f>
        <v>6.1156718125290402E-2</v>
      </c>
    </row>
    <row r="17" spans="1:11" x14ac:dyDescent="0.2">
      <c r="A17" t="s">
        <v>79</v>
      </c>
      <c r="B17" t="s">
        <v>20</v>
      </c>
      <c r="C17" s="16">
        <f>C16*(C10-(C12*(1+C15)^-C11))</f>
        <v>5755.7743700560713</v>
      </c>
      <c r="D17" s="16">
        <f>D16*(D10-(D12*(1+D15)^-D11))</f>
        <v>7658.0841180785001</v>
      </c>
      <c r="E17" s="16">
        <f>E16*(E10-(E12*(1+E15)^-E11))</f>
        <v>2326.5305573063297</v>
      </c>
      <c r="F17" s="16">
        <f>F16*(F10-(F12*(1+F15)^-F11))</f>
        <v>3339.795835959495</v>
      </c>
      <c r="G17" s="17"/>
      <c r="H17" s="19">
        <f>H16*(H10-(H12*(1+H15)^-H11))</f>
        <v>7992.8569505721543</v>
      </c>
      <c r="I17" s="17"/>
      <c r="J17" s="16">
        <f>J16*(J10-(J12*(1+J15)^-J11))</f>
        <v>5566.3263932658247</v>
      </c>
      <c r="K17" s="16">
        <f>K16*(K10-(K12*(1+K15)^-K11))</f>
        <v>12231.34362505808</v>
      </c>
    </row>
    <row r="18" spans="1:11" x14ac:dyDescent="0.2">
      <c r="C18" s="17"/>
      <c r="D18" s="17"/>
      <c r="E18" s="17"/>
      <c r="F18" s="17"/>
      <c r="G18" s="17"/>
      <c r="H18" s="17"/>
      <c r="I18" s="17"/>
      <c r="J18" s="17"/>
    </row>
    <row r="19" spans="1:11" x14ac:dyDescent="0.2">
      <c r="A19" t="s">
        <v>45</v>
      </c>
      <c r="B19" t="s">
        <v>20</v>
      </c>
      <c r="C19" s="16">
        <v>250000</v>
      </c>
      <c r="D19" s="16">
        <v>150000</v>
      </c>
      <c r="E19" s="16">
        <v>25000</v>
      </c>
      <c r="F19" s="16">
        <v>30000</v>
      </c>
      <c r="G19" s="17"/>
      <c r="H19" s="16">
        <v>80000</v>
      </c>
      <c r="I19" s="17"/>
      <c r="J19" s="16">
        <v>50000</v>
      </c>
      <c r="K19" s="16">
        <f>K10</f>
        <v>200000</v>
      </c>
    </row>
    <row r="20" spans="1:11" x14ac:dyDescent="0.2">
      <c r="A20" s="40" t="s">
        <v>108</v>
      </c>
      <c r="B20" t="s">
        <v>48</v>
      </c>
      <c r="C20" s="17">
        <v>0.14000000000000001</v>
      </c>
      <c r="D20" s="17">
        <v>0.7</v>
      </c>
      <c r="E20" s="17">
        <v>0.2</v>
      </c>
      <c r="F20" s="17">
        <v>0.3</v>
      </c>
      <c r="G20" s="78"/>
      <c r="H20" s="18">
        <v>0.2</v>
      </c>
      <c r="I20" s="17"/>
      <c r="J20" s="78">
        <v>0.02</v>
      </c>
      <c r="K20" s="2">
        <v>0.01</v>
      </c>
    </row>
    <row r="21" spans="1:11" x14ac:dyDescent="0.2">
      <c r="A21" t="s">
        <v>111</v>
      </c>
      <c r="B21" t="s">
        <v>20</v>
      </c>
      <c r="C21" s="16">
        <f>C8*C19*C20/1000</f>
        <v>3500.0000000000005</v>
      </c>
      <c r="D21" s="16">
        <f>D8*D19*D20/1000</f>
        <v>1050</v>
      </c>
      <c r="E21" s="16">
        <f>E8*E19*E20/1000</f>
        <v>1000</v>
      </c>
      <c r="F21" s="16">
        <f>F8*F19*F20/1000</f>
        <v>900</v>
      </c>
      <c r="G21" s="16"/>
      <c r="H21" s="93">
        <f>H8*H19*H20/1000</f>
        <v>3200</v>
      </c>
      <c r="I21" s="17"/>
      <c r="J21" s="16">
        <f>J20*J10</f>
        <v>1000</v>
      </c>
      <c r="K21" s="16">
        <f>K20*K10</f>
        <v>2000</v>
      </c>
    </row>
    <row r="23" spans="1:11" x14ac:dyDescent="0.2">
      <c r="A23" s="1" t="s">
        <v>46</v>
      </c>
    </row>
    <row r="24" spans="1:11" x14ac:dyDescent="0.2">
      <c r="A24" t="s">
        <v>47</v>
      </c>
      <c r="B24" t="s">
        <v>48</v>
      </c>
      <c r="C24" s="4">
        <f>C13/C8</f>
        <v>50</v>
      </c>
      <c r="D24" s="4">
        <f>D13/D8</f>
        <v>700</v>
      </c>
      <c r="E24" s="4">
        <f>E13/E8</f>
        <v>10</v>
      </c>
      <c r="F24" s="4">
        <f>F13/F8</f>
        <v>30</v>
      </c>
      <c r="H24" s="4">
        <f>H13/H8</f>
        <v>35</v>
      </c>
    </row>
    <row r="25" spans="1:11" x14ac:dyDescent="0.2">
      <c r="A25" t="s">
        <v>49</v>
      </c>
      <c r="B25" t="s">
        <v>48</v>
      </c>
      <c r="C25" s="4">
        <f>(C17-C13)/C8</f>
        <v>7.5577437005607138</v>
      </c>
      <c r="D25" s="4">
        <f>(D17-D13)/D8</f>
        <v>65.808411807850007</v>
      </c>
      <c r="E25" s="4">
        <f>(E17-E13)/E8</f>
        <v>1.6326527865316485</v>
      </c>
      <c r="F25" s="4">
        <f>(F17-F13)/F8</f>
        <v>3.3979583595949499</v>
      </c>
      <c r="G25" s="4"/>
      <c r="H25" s="4">
        <f>(H17-H13)/H8</f>
        <v>4.9642847528607721</v>
      </c>
    </row>
    <row r="26" spans="1:11" x14ac:dyDescent="0.2">
      <c r="A26" s="24" t="s">
        <v>50</v>
      </c>
      <c r="B26" s="24" t="s">
        <v>48</v>
      </c>
      <c r="C26" s="31">
        <f>C21/C8</f>
        <v>35.000000000000007</v>
      </c>
      <c r="D26" s="31">
        <f>D21/D8</f>
        <v>105</v>
      </c>
      <c r="E26" s="31">
        <f>E21/E8</f>
        <v>5</v>
      </c>
      <c r="F26" s="31">
        <f>F21/F8</f>
        <v>9</v>
      </c>
      <c r="G26" s="24"/>
      <c r="H26" s="31">
        <f>H21/H8</f>
        <v>16</v>
      </c>
      <c r="I26" s="24"/>
      <c r="J26" s="24"/>
      <c r="K26" s="24"/>
    </row>
    <row r="27" spans="1:11" x14ac:dyDescent="0.2">
      <c r="A27" t="s">
        <v>123</v>
      </c>
      <c r="B27" t="s">
        <v>48</v>
      </c>
      <c r="C27" s="4">
        <f>SUM(C24:C26)</f>
        <v>92.557743700560721</v>
      </c>
      <c r="D27" s="4">
        <f>SUM(D24:D26)</f>
        <v>870.80841180785001</v>
      </c>
      <c r="E27" s="4">
        <f>SUM(E24:E26)</f>
        <v>16.632652786531651</v>
      </c>
      <c r="F27" s="4">
        <f>SUM(F24:F26)</f>
        <v>42.397958359594952</v>
      </c>
      <c r="H27" s="4">
        <f>SUM(H24:H26)</f>
        <v>55.96428475286077</v>
      </c>
    </row>
    <row r="29" spans="1:11" s="34" customFormat="1" x14ac:dyDescent="0.2">
      <c r="A29" s="41" t="s">
        <v>51</v>
      </c>
      <c r="B29" s="41" t="s">
        <v>20</v>
      </c>
      <c r="C29" s="42">
        <f>C27*C8</f>
        <v>9255.7743700560713</v>
      </c>
      <c r="D29" s="42">
        <f>D27*D8</f>
        <v>8708.0841180784992</v>
      </c>
      <c r="E29" s="42">
        <f>E27*E8</f>
        <v>3326.5305573063301</v>
      </c>
      <c r="F29" s="42">
        <f>F27*F8</f>
        <v>4239.795835959495</v>
      </c>
      <c r="G29" s="41"/>
      <c r="H29" s="42">
        <f>H27*H8</f>
        <v>11192.856950572153</v>
      </c>
      <c r="I29" s="41"/>
      <c r="J29" s="43">
        <f>J17+J21</f>
        <v>6566.3263932658247</v>
      </c>
      <c r="K29" s="43">
        <f>K17+K21</f>
        <v>14231.34362505808</v>
      </c>
    </row>
    <row r="30" spans="1:11" s="7" customFormat="1" x14ac:dyDescent="0.2">
      <c r="A30" s="7" t="s">
        <v>52</v>
      </c>
      <c r="B30" s="7" t="s">
        <v>20</v>
      </c>
      <c r="C30" s="38">
        <f>C29/C6</f>
        <v>3085.2581233520236</v>
      </c>
      <c r="D30" s="38">
        <f>D29/D6</f>
        <v>2902.6947060261664</v>
      </c>
      <c r="E30" s="38">
        <f>E29/E6</f>
        <v>3326.5305573063301</v>
      </c>
      <c r="F30" s="38">
        <f>F29/F6</f>
        <v>4239.795835959495</v>
      </c>
      <c r="H30" s="38">
        <f>H29/H6</f>
        <v>11192.856950572153</v>
      </c>
      <c r="J30" s="39">
        <f>J29/J6</f>
        <v>6566.3263932658247</v>
      </c>
      <c r="K30" s="39">
        <f>K29/K6</f>
        <v>14231.34362505808</v>
      </c>
    </row>
    <row r="32" spans="1:11" x14ac:dyDescent="0.2">
      <c r="A32" s="7" t="s">
        <v>136</v>
      </c>
      <c r="F32" s="81">
        <f>SUM(C30:H30)</f>
        <v>24747.136173216168</v>
      </c>
    </row>
  </sheetData>
  <phoneticPr fontId="0" type="noConversion"/>
  <printOptions gridLines="1" gridLinesSet="0"/>
  <pageMargins left="0.44" right="0.37" top="1" bottom="1" header="0.5" footer="0.5"/>
  <pageSetup paperSize="9" scale="86" orientation="portrait" r:id="rId1"/>
  <headerFooter alignWithMargins="0">
    <oddHeader>&amp;A</oddHeader>
    <oddFooter>Sida &amp;P</oddFooter>
  </headerFooter>
  <colBreaks count="1" manualBreakCount="1">
    <brk id="1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7"/>
  <sheetViews>
    <sheetView tabSelected="1" zoomScale="75" zoomScaleNormal="75" workbookViewId="0"/>
  </sheetViews>
  <sheetFormatPr defaultRowHeight="12.75" x14ac:dyDescent="0.2"/>
  <cols>
    <col min="1" max="1" width="29.140625" customWidth="1"/>
    <col min="2" max="2" width="9.28515625" bestFit="1" customWidth="1"/>
    <col min="3" max="3" width="11.85546875" customWidth="1"/>
    <col min="4" max="6" width="9.28515625" bestFit="1" customWidth="1"/>
    <col min="7" max="7" width="11" bestFit="1" customWidth="1"/>
    <col min="8" max="11" width="12" bestFit="1" customWidth="1"/>
    <col min="12" max="12" width="14.140625" customWidth="1"/>
    <col min="13" max="13" width="13.85546875" customWidth="1"/>
    <col min="14" max="14" width="12" bestFit="1" customWidth="1"/>
  </cols>
  <sheetData>
    <row r="1" spans="1:15" ht="15.75" x14ac:dyDescent="0.25">
      <c r="A1" s="20" t="s">
        <v>152</v>
      </c>
      <c r="B1" s="20"/>
      <c r="C1" s="20" t="s">
        <v>218</v>
      </c>
      <c r="E1" s="20"/>
      <c r="F1" s="20">
        <v>2019</v>
      </c>
      <c r="G1" s="95"/>
    </row>
    <row r="3" spans="1:15" x14ac:dyDescent="0.2">
      <c r="A3" t="s">
        <v>153</v>
      </c>
      <c r="C3" t="s">
        <v>154</v>
      </c>
      <c r="D3" t="s">
        <v>155</v>
      </c>
      <c r="E3" t="s">
        <v>156</v>
      </c>
      <c r="F3" t="s">
        <v>155</v>
      </c>
      <c r="G3" t="s">
        <v>116</v>
      </c>
      <c r="H3" t="s">
        <v>157</v>
      </c>
      <c r="I3" t="s">
        <v>158</v>
      </c>
      <c r="J3" t="s">
        <v>159</v>
      </c>
      <c r="K3" t="s">
        <v>160</v>
      </c>
      <c r="L3" t="s">
        <v>161</v>
      </c>
      <c r="M3" t="s">
        <v>134</v>
      </c>
      <c r="N3" t="s">
        <v>121</v>
      </c>
    </row>
    <row r="4" spans="1:15" x14ac:dyDescent="0.2">
      <c r="B4" s="15" t="s">
        <v>283</v>
      </c>
      <c r="C4" s="124" t="s">
        <v>289</v>
      </c>
      <c r="D4" s="15" t="s">
        <v>38</v>
      </c>
      <c r="E4" s="124" t="s">
        <v>292</v>
      </c>
      <c r="F4" s="124" t="s">
        <v>292</v>
      </c>
      <c r="G4" s="124" t="s">
        <v>294</v>
      </c>
      <c r="H4" s="15" t="s">
        <v>20</v>
      </c>
      <c r="I4" s="15" t="s">
        <v>20</v>
      </c>
      <c r="J4" s="15" t="s">
        <v>20</v>
      </c>
      <c r="K4" s="15" t="s">
        <v>20</v>
      </c>
      <c r="L4" s="15" t="s">
        <v>20</v>
      </c>
      <c r="M4" s="15" t="s">
        <v>20</v>
      </c>
      <c r="N4" s="15" t="s">
        <v>20</v>
      </c>
    </row>
    <row r="6" spans="1:15" x14ac:dyDescent="0.2">
      <c r="A6" s="5" t="s">
        <v>290</v>
      </c>
      <c r="B6">
        <v>2000</v>
      </c>
      <c r="C6" s="96">
        <v>5500</v>
      </c>
      <c r="D6" s="97">
        <v>0.7</v>
      </c>
      <c r="E6" s="13">
        <f t="shared" ref="E6:E13" si="0">C6*B6/1000</f>
        <v>11000</v>
      </c>
      <c r="F6" s="13">
        <f t="shared" ref="F6:F13" si="1">D6*E6</f>
        <v>7699.9999999999991</v>
      </c>
      <c r="G6" s="4">
        <f>'Morot 1'!$D$9</f>
        <v>16.437045270566042</v>
      </c>
      <c r="H6" s="13">
        <f>'Morot 1'!$E$11*B6/1000</f>
        <v>127565.24858335851</v>
      </c>
      <c r="I6" s="13">
        <f>'Morot 1'!$E$35*B6/1000</f>
        <v>42881.480255330855</v>
      </c>
      <c r="J6" s="13">
        <f>'Morot 1'!$E$42*B6/1000</f>
        <v>17507.111111111109</v>
      </c>
      <c r="K6" s="13">
        <f>'Morot 1'!$E$49*B6/1000</f>
        <v>3033.134362505808</v>
      </c>
      <c r="L6" s="13">
        <f>'Morot 1'!$E$59*B6/1000</f>
        <v>16274.431945319831</v>
      </c>
      <c r="M6" s="13">
        <f>'Morot 1'!$E$64*B6/1000</f>
        <v>36960</v>
      </c>
      <c r="N6" s="13">
        <f>'Morot 1'!$E$71*B6/1000</f>
        <v>10909.09090909091</v>
      </c>
      <c r="O6" s="13"/>
    </row>
    <row r="7" spans="1:15" x14ac:dyDescent="0.2">
      <c r="A7" s="5" t="s">
        <v>291</v>
      </c>
      <c r="B7" s="152">
        <v>1000</v>
      </c>
      <c r="C7" s="96">
        <v>7500</v>
      </c>
      <c r="D7" s="97">
        <v>0.95</v>
      </c>
      <c r="E7" s="13">
        <f t="shared" si="0"/>
        <v>7500</v>
      </c>
      <c r="F7" s="13">
        <f t="shared" si="1"/>
        <v>7125</v>
      </c>
      <c r="G7" s="4">
        <f>'Buntmorot 1'!D9</f>
        <v>13.476330641619294</v>
      </c>
      <c r="H7" s="13">
        <f>'Buntmorot 1'!E11*B7/1000</f>
        <v>96518.855821537465</v>
      </c>
      <c r="I7" s="13">
        <f>'Buntmorot 1'!E35*B7/1000</f>
        <v>21137.677727665428</v>
      </c>
      <c r="J7" s="13">
        <f>'Buntmorot 1'!E42*B7/1000</f>
        <v>49550</v>
      </c>
      <c r="K7" s="13">
        <f>'Buntmorot 1'!E49*B7/1000</f>
        <v>0</v>
      </c>
      <c r="L7" s="13">
        <f>'Buntmorot 1'!E59*B7/1000</f>
        <v>1896.6326393265826</v>
      </c>
      <c r="M7" s="13">
        <f>'Buntmorot 1'!E64*B7/1000</f>
        <v>18480</v>
      </c>
      <c r="N7" s="13">
        <f>'Buntmorot 1'!E71*B7/1000</f>
        <v>5454.545454545455</v>
      </c>
      <c r="O7" s="13"/>
    </row>
    <row r="8" spans="1:15" x14ac:dyDescent="0.2">
      <c r="A8" s="5" t="s">
        <v>75</v>
      </c>
      <c r="B8" s="152">
        <v>1000</v>
      </c>
      <c r="C8" s="96">
        <v>4500</v>
      </c>
      <c r="D8" s="97">
        <v>0.95</v>
      </c>
      <c r="E8" s="13">
        <f t="shared" si="0"/>
        <v>4500</v>
      </c>
      <c r="F8" s="13">
        <f t="shared" si="1"/>
        <v>4275</v>
      </c>
      <c r="G8" s="4">
        <f>'Buntlök 1'!D9</f>
        <v>18.668696472874263</v>
      </c>
      <c r="H8" s="13">
        <f>'Buntlök 1'!E11*B8/1000</f>
        <v>80308.677421537475</v>
      </c>
      <c r="I8" s="13">
        <f>'Buntlök 1'!E35*B8/1000</f>
        <v>25051.499327665431</v>
      </c>
      <c r="J8" s="13">
        <f>'Buntlök 1'!E42*B8/1000</f>
        <v>29730</v>
      </c>
      <c r="K8" s="13">
        <f>'Buntlök 1'!E49*B8/1000</f>
        <v>0</v>
      </c>
      <c r="L8" s="13">
        <f>'Buntlök 1'!E59*B8/1000</f>
        <v>1592.6326393265826</v>
      </c>
      <c r="M8" s="13">
        <f>'Buntlök 1'!E64*B8/1000</f>
        <v>18480</v>
      </c>
      <c r="N8" s="13">
        <f>'Buntlök 1'!E71*B8/1000</f>
        <v>5454.545454545455</v>
      </c>
      <c r="O8" s="13"/>
    </row>
    <row r="9" spans="1:15" x14ac:dyDescent="0.2">
      <c r="A9" s="5" t="s">
        <v>69</v>
      </c>
      <c r="B9" s="152">
        <v>1000</v>
      </c>
      <c r="C9" s="96">
        <v>5000</v>
      </c>
      <c r="D9" s="97">
        <v>0.8</v>
      </c>
      <c r="E9" s="13">
        <f t="shared" si="0"/>
        <v>5000</v>
      </c>
      <c r="F9" s="13">
        <f t="shared" si="1"/>
        <v>4000</v>
      </c>
      <c r="G9" s="4">
        <f>'Sättlök 1'!D9</f>
        <v>17.232908772919814</v>
      </c>
      <c r="H9" s="13">
        <f>'Sättlök 1'!E11*B9/1000</f>
        <v>69431.635091679258</v>
      </c>
      <c r="I9" s="13">
        <f>'Sättlök 1'!E35*B9/1000</f>
        <v>22710.000927665431</v>
      </c>
      <c r="J9" s="13">
        <f>'Sättlök 1'!E42*B9/1000</f>
        <v>9947.2222222222226</v>
      </c>
      <c r="K9" s="13">
        <f>'Sättlök 1'!E49*B9/1000</f>
        <v>1390.567181252904</v>
      </c>
      <c r="L9" s="13">
        <f>'Sättlök 1'!E59*B9/1000</f>
        <v>11449.299305993247</v>
      </c>
      <c r="M9" s="13">
        <f>'Sättlök 1'!E64*B9/1000</f>
        <v>18480</v>
      </c>
      <c r="N9" s="13">
        <f>'Sättlök 1'!E71*B9/1000</f>
        <v>5454.545454545455</v>
      </c>
      <c r="O9" s="13"/>
    </row>
    <row r="10" spans="1:15" x14ac:dyDescent="0.2">
      <c r="A10" t="s">
        <v>162</v>
      </c>
      <c r="B10" s="152">
        <v>1000</v>
      </c>
      <c r="C10" s="96">
        <v>1000</v>
      </c>
      <c r="D10" s="97">
        <v>0.95</v>
      </c>
      <c r="E10" s="13">
        <f t="shared" si="0"/>
        <v>1000</v>
      </c>
      <c r="F10" s="13">
        <f t="shared" si="1"/>
        <v>950</v>
      </c>
      <c r="G10" s="4">
        <f>'Broccoli 1 '!D9</f>
        <v>58.52238879460085</v>
      </c>
      <c r="H10" s="13">
        <f>'Broccoli 1 '!E11*B10/1000</f>
        <v>56096.269354870805</v>
      </c>
      <c r="I10" s="13">
        <f>'Broccoli 1 '!E35*B10/1000</f>
        <v>22747.757927665429</v>
      </c>
      <c r="J10" s="13">
        <f>'Broccoli 1 '!E42*B10/1000</f>
        <v>8408</v>
      </c>
      <c r="K10" s="13">
        <f>'Broccoli 1 '!E49*B10/1000</f>
        <v>0</v>
      </c>
      <c r="L10" s="13">
        <f>'Broccoli 1 '!E59*B10/1000</f>
        <v>1005.9659726599159</v>
      </c>
      <c r="M10" s="13">
        <f>'Broccoli 1 '!E64*B10/1000</f>
        <v>18480</v>
      </c>
      <c r="N10" s="13">
        <f>'Broccoli 1 '!E71*B10/1000</f>
        <v>5454.545454545455</v>
      </c>
      <c r="O10" s="13"/>
    </row>
    <row r="11" spans="1:15" x14ac:dyDescent="0.2">
      <c r="A11" t="s">
        <v>163</v>
      </c>
      <c r="B11" s="152">
        <v>2000</v>
      </c>
      <c r="C11" s="96">
        <v>6000</v>
      </c>
      <c r="D11" s="97">
        <v>0.8</v>
      </c>
      <c r="E11" s="13">
        <f t="shared" si="0"/>
        <v>12000</v>
      </c>
      <c r="F11" s="13">
        <f t="shared" si="1"/>
        <v>9600</v>
      </c>
      <c r="G11" s="4">
        <f>'Vitkål 1 '!D9</f>
        <v>12.899734792247994</v>
      </c>
      <c r="H11" s="13">
        <f>'Vitkål 1 '!E11*B11/1000</f>
        <v>124837.45400558074</v>
      </c>
      <c r="I11" s="13">
        <f>'Vitkål 1 '!E35*B11/1000</f>
        <v>48540.603455330864</v>
      </c>
      <c r="J11" s="13">
        <f>'Vitkål 1 '!E42*B11/1000</f>
        <v>12614</v>
      </c>
      <c r="K11" s="13">
        <f>'Vitkål 1 '!E49*B11/1000</f>
        <v>3093.134362505808</v>
      </c>
      <c r="L11" s="13">
        <f>'Vitkål 1 '!E59*B11/1000</f>
        <v>12720.625278653166</v>
      </c>
      <c r="M11" s="13">
        <f>'Vitkål 1 '!E64*B11/1000</f>
        <v>36960</v>
      </c>
      <c r="N11" s="13">
        <f>'Vitkål 1 '!E71*B11/1000</f>
        <v>10909.09090909091</v>
      </c>
      <c r="O11" s="13"/>
    </row>
    <row r="12" spans="1:15" x14ac:dyDescent="0.2">
      <c r="A12" s="5" t="s">
        <v>80</v>
      </c>
      <c r="B12" s="152">
        <v>1000</v>
      </c>
      <c r="C12" s="96">
        <v>1000</v>
      </c>
      <c r="D12" s="97">
        <v>0.95</v>
      </c>
      <c r="E12" s="13">
        <f t="shared" si="0"/>
        <v>1000</v>
      </c>
      <c r="F12" s="13">
        <f t="shared" si="1"/>
        <v>950</v>
      </c>
      <c r="G12" s="4">
        <f>'Brytböna 1'!D9</f>
        <v>72.924942208134667</v>
      </c>
      <c r="H12" s="13">
        <f>'Brytböna 1'!E11*B12/1000</f>
        <v>69778.695097727934</v>
      </c>
      <c r="I12" s="13">
        <f>'Brytböna 1'!E35*B12/1000</f>
        <v>20000.826527665427</v>
      </c>
      <c r="J12" s="13">
        <f>'Brytböna 1'!E42*B12/1000</f>
        <v>24938.690476190477</v>
      </c>
      <c r="K12" s="13">
        <f>'Brytböna 1'!E49*B12/1000</f>
        <v>0</v>
      </c>
      <c r="L12" s="13">
        <f>'Brytböna 1'!E59*B12/1000</f>
        <v>904.63263932658253</v>
      </c>
      <c r="M12" s="13">
        <f>'Brytböna 1'!E64*B12/1000</f>
        <v>18480</v>
      </c>
      <c r="N12" s="13">
        <f>'Brytböna 1'!E71*B12/1000</f>
        <v>5454.545454545455</v>
      </c>
      <c r="O12" s="13"/>
    </row>
    <row r="13" spans="1:15" x14ac:dyDescent="0.2">
      <c r="A13" s="5" t="s">
        <v>71</v>
      </c>
      <c r="B13" s="152">
        <v>1000</v>
      </c>
      <c r="C13" s="96">
        <v>600</v>
      </c>
      <c r="D13" s="97">
        <v>0.95</v>
      </c>
      <c r="E13" s="13">
        <f t="shared" si="0"/>
        <v>600</v>
      </c>
      <c r="F13" s="13">
        <f t="shared" si="1"/>
        <v>570</v>
      </c>
      <c r="G13" s="4">
        <f>'Sockerärt 1'!D9</f>
        <v>168.71359875123531</v>
      </c>
      <c r="H13" s="13">
        <f>'Sockerärt 1'!E11*B13/1000</f>
        <v>96666.751288204134</v>
      </c>
      <c r="I13" s="13">
        <f>'Sockerärt 1'!E36*B13/1000</f>
        <v>32081.706527665428</v>
      </c>
      <c r="J13" s="13">
        <f>'Sockerärt 1'!E43*B13/1000</f>
        <v>39806.666666666664</v>
      </c>
      <c r="K13" s="13">
        <f>'Sockerärt 1'!E50*B13/1000</f>
        <v>0</v>
      </c>
      <c r="L13" s="13">
        <f>'Sockerärt 1'!E60*B13/1000</f>
        <v>843.83263932658258</v>
      </c>
      <c r="M13" s="13">
        <f>'Sockerärt 1'!E65*B13/1000</f>
        <v>18480</v>
      </c>
      <c r="N13" s="13">
        <f>'Sockerärt 1'!E72*B13/1000</f>
        <v>5454.545454545455</v>
      </c>
      <c r="O13" s="13"/>
    </row>
    <row r="14" spans="1:15" x14ac:dyDescent="0.2">
      <c r="A14" t="s">
        <v>62</v>
      </c>
      <c r="B14" s="152">
        <v>1000</v>
      </c>
      <c r="N14" s="9">
        <f>('Gröngödsling 1'!E25+'Gröngödsling 1'!E26)*Grunduppgifter!B14/1000</f>
        <v>272.72727272727275</v>
      </c>
    </row>
    <row r="15" spans="1:15" ht="13.5" thickBot="1" x14ac:dyDescent="0.25">
      <c r="A15" s="98" t="s">
        <v>164</v>
      </c>
      <c r="B15" s="99">
        <v>19000</v>
      </c>
      <c r="C15" s="100"/>
      <c r="D15" s="101"/>
      <c r="E15" s="102"/>
      <c r="F15" s="102"/>
      <c r="G15" s="103"/>
      <c r="H15" s="102"/>
      <c r="I15" s="102"/>
      <c r="J15" s="104"/>
      <c r="K15" s="104"/>
      <c r="L15" s="104"/>
      <c r="M15" s="104"/>
      <c r="N15" s="102">
        <f>(Lantbruk!E25+Lantbruk!E26)*Grunduppgifter!B15/10000</f>
        <v>5181.818181818182</v>
      </c>
    </row>
    <row r="16" spans="1:15" x14ac:dyDescent="0.2">
      <c r="A16" t="s">
        <v>165</v>
      </c>
      <c r="B16">
        <f>SUM(B6:B15)</f>
        <v>30000</v>
      </c>
      <c r="H16" s="13">
        <f t="shared" ref="H16:N16" si="2">SUM(H6:H15)</f>
        <v>721203.58666449622</v>
      </c>
      <c r="I16" s="13">
        <f t="shared" si="2"/>
        <v>235151.55267665428</v>
      </c>
      <c r="J16" s="13">
        <f t="shared" si="2"/>
        <v>192501.69047619047</v>
      </c>
      <c r="K16" s="13">
        <f t="shared" si="2"/>
        <v>7516.8359062645204</v>
      </c>
      <c r="L16" s="13">
        <f t="shared" si="2"/>
        <v>46688.053059932492</v>
      </c>
      <c r="M16" s="13">
        <f t="shared" si="2"/>
        <v>184800</v>
      </c>
      <c r="N16" s="13">
        <f t="shared" si="2"/>
        <v>60000.000000000007</v>
      </c>
    </row>
    <row r="17" spans="1:15" x14ac:dyDescent="0.2">
      <c r="A17" t="s">
        <v>166</v>
      </c>
      <c r="B17">
        <f>SUM(B6:B13)</f>
        <v>10000</v>
      </c>
      <c r="H17" s="13">
        <f>SUM(H6:H13)</f>
        <v>721203.58666449622</v>
      </c>
      <c r="I17" s="13">
        <f t="shared" ref="I17:N17" si="3">SUM(I6:I13)</f>
        <v>235151.55267665428</v>
      </c>
      <c r="J17" s="13">
        <f t="shared" si="3"/>
        <v>192501.69047619047</v>
      </c>
      <c r="K17" s="13">
        <f t="shared" si="3"/>
        <v>7516.8359062645204</v>
      </c>
      <c r="L17" s="13">
        <f t="shared" si="3"/>
        <v>46688.053059932492</v>
      </c>
      <c r="M17" s="13">
        <f t="shared" si="3"/>
        <v>184800</v>
      </c>
      <c r="N17" s="13">
        <f t="shared" si="3"/>
        <v>54545.454545454551</v>
      </c>
      <c r="O17" s="13"/>
    </row>
    <row r="18" spans="1:15" s="183" customFormat="1" x14ac:dyDescent="0.2">
      <c r="H18" s="13"/>
      <c r="I18" s="13"/>
      <c r="J18" s="13"/>
      <c r="K18" s="13"/>
      <c r="L18" s="13"/>
      <c r="M18" s="13"/>
      <c r="N18" s="13"/>
      <c r="O18" s="13"/>
    </row>
    <row r="19" spans="1:15" s="183" customFormat="1" x14ac:dyDescent="0.2">
      <c r="A19" s="1" t="s">
        <v>104</v>
      </c>
      <c r="H19" s="13"/>
      <c r="I19" s="13"/>
      <c r="J19" s="13"/>
      <c r="K19" s="13"/>
      <c r="L19" s="13"/>
      <c r="M19" s="13"/>
      <c r="N19" s="13"/>
      <c r="O19" s="13"/>
    </row>
    <row r="20" spans="1:15" s="183" customFormat="1" x14ac:dyDescent="0.2">
      <c r="A20" s="182" t="s">
        <v>394</v>
      </c>
      <c r="B20" s="183">
        <v>3</v>
      </c>
      <c r="C20" s="182" t="s">
        <v>3</v>
      </c>
      <c r="H20" s="13"/>
      <c r="I20" s="13"/>
      <c r="J20" s="13"/>
      <c r="K20" s="13"/>
      <c r="L20" s="13"/>
      <c r="M20" s="13"/>
      <c r="N20" s="13"/>
      <c r="O20" s="13"/>
    </row>
    <row r="21" spans="1:15" s="183" customFormat="1" x14ac:dyDescent="0.2">
      <c r="A21" s="182" t="s">
        <v>166</v>
      </c>
      <c r="B21" s="183">
        <v>1</v>
      </c>
      <c r="C21" s="182" t="s">
        <v>3</v>
      </c>
      <c r="H21" s="13"/>
      <c r="I21" s="13"/>
      <c r="J21" s="13"/>
      <c r="K21" s="13"/>
      <c r="L21" s="13"/>
      <c r="M21" s="13"/>
      <c r="N21" s="13"/>
      <c r="O21" s="13"/>
    </row>
    <row r="23" spans="1:15" x14ac:dyDescent="0.2">
      <c r="A23" s="1" t="s">
        <v>167</v>
      </c>
      <c r="B23" s="7"/>
    </row>
    <row r="24" spans="1:15" x14ac:dyDescent="0.2">
      <c r="A24" s="1" t="s">
        <v>168</v>
      </c>
    </row>
    <row r="25" spans="1:15" x14ac:dyDescent="0.2">
      <c r="A25" s="201" t="s">
        <v>416</v>
      </c>
      <c r="B25">
        <v>283</v>
      </c>
      <c r="C25" t="s">
        <v>48</v>
      </c>
      <c r="D25" t="s">
        <v>169</v>
      </c>
    </row>
    <row r="26" spans="1:15" x14ac:dyDescent="0.2">
      <c r="A26" t="s">
        <v>170</v>
      </c>
      <c r="B26">
        <v>186</v>
      </c>
      <c r="C26" t="s">
        <v>48</v>
      </c>
      <c r="D26" t="s">
        <v>169</v>
      </c>
    </row>
    <row r="27" spans="1:15" x14ac:dyDescent="0.2">
      <c r="A27" t="s">
        <v>413</v>
      </c>
      <c r="B27" s="200">
        <v>60</v>
      </c>
      <c r="C27" t="s">
        <v>415</v>
      </c>
    </row>
    <row r="29" spans="1:15" x14ac:dyDescent="0.2">
      <c r="A29" s="1" t="s">
        <v>171</v>
      </c>
      <c r="O29" s="7"/>
    </row>
    <row r="30" spans="1:15" x14ac:dyDescent="0.2">
      <c r="A30" t="s">
        <v>172</v>
      </c>
      <c r="B30">
        <v>100</v>
      </c>
      <c r="C30" t="s">
        <v>48</v>
      </c>
    </row>
    <row r="31" spans="1:15" x14ac:dyDescent="0.2">
      <c r="A31" t="s">
        <v>173</v>
      </c>
      <c r="B31">
        <v>0.96</v>
      </c>
      <c r="C31" t="s">
        <v>174</v>
      </c>
    </row>
    <row r="32" spans="1:15" x14ac:dyDescent="0.2">
      <c r="A32" t="s">
        <v>175</v>
      </c>
      <c r="B32">
        <v>25</v>
      </c>
      <c r="C32" t="s">
        <v>133</v>
      </c>
    </row>
    <row r="33" spans="1:6" x14ac:dyDescent="0.2">
      <c r="A33" t="s">
        <v>13</v>
      </c>
      <c r="B33" s="4">
        <v>1.2</v>
      </c>
      <c r="C33" s="168" t="s">
        <v>371</v>
      </c>
      <c r="E33" s="198" t="s">
        <v>412</v>
      </c>
    </row>
    <row r="35" spans="1:6" x14ac:dyDescent="0.2">
      <c r="A35" t="s">
        <v>63</v>
      </c>
      <c r="B35" s="4">
        <v>0.2</v>
      </c>
      <c r="C35" t="s">
        <v>133</v>
      </c>
      <c r="E35" t="s">
        <v>176</v>
      </c>
    </row>
    <row r="36" spans="1:6" x14ac:dyDescent="0.2">
      <c r="A36" s="168" t="s">
        <v>368</v>
      </c>
      <c r="B36" s="161">
        <v>3.91</v>
      </c>
      <c r="C36" s="168" t="s">
        <v>133</v>
      </c>
      <c r="D36" s="169"/>
      <c r="E36" s="168" t="s">
        <v>369</v>
      </c>
      <c r="F36" s="169"/>
    </row>
    <row r="37" spans="1:6" s="169" customFormat="1" x14ac:dyDescent="0.2">
      <c r="A37" s="168" t="s">
        <v>352</v>
      </c>
      <c r="B37" s="161">
        <v>4.16</v>
      </c>
      <c r="C37" s="168" t="s">
        <v>133</v>
      </c>
      <c r="E37" s="168"/>
    </row>
    <row r="38" spans="1:6" s="169" customFormat="1" x14ac:dyDescent="0.2">
      <c r="A38" s="168" t="s">
        <v>364</v>
      </c>
      <c r="B38" s="161">
        <v>5.1100000000000003</v>
      </c>
      <c r="C38" s="168" t="s">
        <v>133</v>
      </c>
      <c r="E38" s="168"/>
    </row>
    <row r="39" spans="1:6" x14ac:dyDescent="0.2">
      <c r="A39" t="s">
        <v>177</v>
      </c>
      <c r="B39">
        <v>4.5599999999999996</v>
      </c>
      <c r="C39" t="s">
        <v>133</v>
      </c>
      <c r="E39" t="s">
        <v>178</v>
      </c>
    </row>
    <row r="40" spans="1:6" x14ac:dyDescent="0.2">
      <c r="A40" t="s">
        <v>179</v>
      </c>
      <c r="B40" s="13">
        <v>2451</v>
      </c>
      <c r="C40" t="s">
        <v>180</v>
      </c>
      <c r="E40" t="s">
        <v>181</v>
      </c>
    </row>
    <row r="41" spans="1:6" x14ac:dyDescent="0.2">
      <c r="A41" t="s">
        <v>344</v>
      </c>
      <c r="B41">
        <v>782</v>
      </c>
      <c r="C41" t="s">
        <v>133</v>
      </c>
      <c r="E41" t="s">
        <v>182</v>
      </c>
    </row>
    <row r="42" spans="1:6" x14ac:dyDescent="0.2">
      <c r="A42" t="s">
        <v>183</v>
      </c>
      <c r="B42">
        <v>145</v>
      </c>
      <c r="C42" t="s">
        <v>133</v>
      </c>
    </row>
    <row r="43" spans="1:6" x14ac:dyDescent="0.2">
      <c r="A43" t="s">
        <v>184</v>
      </c>
      <c r="B43">
        <v>154</v>
      </c>
      <c r="C43" t="s">
        <v>180</v>
      </c>
    </row>
    <row r="44" spans="1:6" x14ac:dyDescent="0.2">
      <c r="A44" t="s">
        <v>185</v>
      </c>
      <c r="B44">
        <v>854</v>
      </c>
      <c r="C44" t="s">
        <v>133</v>
      </c>
    </row>
    <row r="45" spans="1:6" x14ac:dyDescent="0.2">
      <c r="A45" t="s">
        <v>186</v>
      </c>
      <c r="B45">
        <v>990</v>
      </c>
      <c r="C45" t="s">
        <v>180</v>
      </c>
      <c r="E45" s="164">
        <v>191021</v>
      </c>
    </row>
    <row r="46" spans="1:6" x14ac:dyDescent="0.2">
      <c r="A46" t="s">
        <v>56</v>
      </c>
      <c r="B46">
        <v>400</v>
      </c>
      <c r="C46" t="s">
        <v>187</v>
      </c>
    </row>
    <row r="47" spans="1:6" x14ac:dyDescent="0.2">
      <c r="A47" t="s">
        <v>188</v>
      </c>
      <c r="B47">
        <v>0.12</v>
      </c>
      <c r="C47" t="s">
        <v>133</v>
      </c>
    </row>
    <row r="48" spans="1:6" x14ac:dyDescent="0.2">
      <c r="A48" t="s">
        <v>189</v>
      </c>
      <c r="B48" s="4">
        <v>0.4</v>
      </c>
      <c r="C48" t="s">
        <v>187</v>
      </c>
    </row>
    <row r="49" spans="1:18" x14ac:dyDescent="0.2">
      <c r="A49" t="s">
        <v>190</v>
      </c>
      <c r="B49" s="2">
        <v>0.2</v>
      </c>
    </row>
    <row r="50" spans="1:18" x14ac:dyDescent="0.2">
      <c r="A50" t="s">
        <v>191</v>
      </c>
      <c r="B50" s="2">
        <v>0.25</v>
      </c>
    </row>
    <row r="51" spans="1:18" x14ac:dyDescent="0.2">
      <c r="E51" t="s">
        <v>192</v>
      </c>
    </row>
    <row r="52" spans="1:18" x14ac:dyDescent="0.2">
      <c r="A52" t="s">
        <v>193</v>
      </c>
      <c r="B52">
        <v>4.34</v>
      </c>
      <c r="C52" t="s">
        <v>194</v>
      </c>
      <c r="E52">
        <v>48</v>
      </c>
    </row>
    <row r="53" spans="1:18" x14ac:dyDescent="0.2">
      <c r="A53" t="s">
        <v>195</v>
      </c>
      <c r="B53">
        <v>3.77</v>
      </c>
      <c r="C53" t="s">
        <v>194</v>
      </c>
      <c r="E53">
        <v>64</v>
      </c>
    </row>
    <row r="54" spans="1:18" x14ac:dyDescent="0.2">
      <c r="A54" t="s">
        <v>196</v>
      </c>
      <c r="B54">
        <v>3.41</v>
      </c>
      <c r="C54" t="s">
        <v>194</v>
      </c>
      <c r="E54">
        <v>128</v>
      </c>
    </row>
    <row r="55" spans="1:18" x14ac:dyDescent="0.2">
      <c r="A55" t="s">
        <v>197</v>
      </c>
      <c r="B55">
        <v>2.66</v>
      </c>
      <c r="C55" t="s">
        <v>194</v>
      </c>
      <c r="E55">
        <v>96</v>
      </c>
    </row>
    <row r="56" spans="1:18" x14ac:dyDescent="0.2">
      <c r="A56" t="s">
        <v>198</v>
      </c>
      <c r="B56">
        <v>2.66</v>
      </c>
      <c r="C56" t="s">
        <v>194</v>
      </c>
      <c r="E56">
        <v>128</v>
      </c>
    </row>
    <row r="57" spans="1:18" x14ac:dyDescent="0.2">
      <c r="A57" t="s">
        <v>199</v>
      </c>
      <c r="B57">
        <v>2.75</v>
      </c>
      <c r="C57" t="s">
        <v>194</v>
      </c>
      <c r="E57">
        <v>256</v>
      </c>
    </row>
    <row r="58" spans="1:18" x14ac:dyDescent="0.2">
      <c r="A58" t="s">
        <v>200</v>
      </c>
      <c r="B58">
        <v>1500</v>
      </c>
      <c r="C58" t="s">
        <v>429</v>
      </c>
      <c r="D58" t="s">
        <v>169</v>
      </c>
    </row>
    <row r="60" spans="1:18" x14ac:dyDescent="0.2">
      <c r="A60" t="s">
        <v>201</v>
      </c>
      <c r="B60" s="13">
        <v>6000</v>
      </c>
      <c r="C60" t="s">
        <v>202</v>
      </c>
    </row>
    <row r="61" spans="1:18" x14ac:dyDescent="0.2">
      <c r="A61" t="s">
        <v>203</v>
      </c>
      <c r="B61" s="13">
        <v>5000</v>
      </c>
      <c r="C61" t="s">
        <v>202</v>
      </c>
    </row>
    <row r="62" spans="1:18" x14ac:dyDescent="0.2">
      <c r="A62" t="s">
        <v>204</v>
      </c>
      <c r="B62" s="13">
        <v>1500</v>
      </c>
      <c r="C62" t="s">
        <v>202</v>
      </c>
    </row>
    <row r="63" spans="1:18" x14ac:dyDescent="0.2">
      <c r="A63" t="s">
        <v>62</v>
      </c>
      <c r="B63" s="13">
        <f>'Gröngödsling 1'!E31</f>
        <v>1025.9546363636364</v>
      </c>
      <c r="C63" s="169" t="s">
        <v>202</v>
      </c>
      <c r="E63" s="168" t="s">
        <v>386</v>
      </c>
    </row>
    <row r="64" spans="1:18" x14ac:dyDescent="0.2">
      <c r="A64" t="s">
        <v>205</v>
      </c>
      <c r="B64" s="13">
        <v>4500</v>
      </c>
      <c r="C64" t="s">
        <v>206</v>
      </c>
      <c r="E64" t="s">
        <v>207</v>
      </c>
      <c r="L64" t="s">
        <v>208</v>
      </c>
      <c r="R64" t="s">
        <v>209</v>
      </c>
    </row>
    <row r="65" spans="1:12" x14ac:dyDescent="0.2">
      <c r="A65" t="s">
        <v>210</v>
      </c>
      <c r="E65" t="s">
        <v>211</v>
      </c>
      <c r="I65" t="s">
        <v>212</v>
      </c>
      <c r="L65" t="s">
        <v>213</v>
      </c>
    </row>
    <row r="66" spans="1:12" x14ac:dyDescent="0.2">
      <c r="E66" t="s">
        <v>214</v>
      </c>
    </row>
    <row r="67" spans="1:12" x14ac:dyDescent="0.2">
      <c r="A67" t="s">
        <v>121</v>
      </c>
      <c r="B67" s="13">
        <v>30000</v>
      </c>
      <c r="C67" t="s">
        <v>206</v>
      </c>
    </row>
    <row r="68" spans="1:12" x14ac:dyDescent="0.2">
      <c r="A68" t="s">
        <v>215</v>
      </c>
      <c r="B68" s="13">
        <v>30000</v>
      </c>
      <c r="C68" t="s">
        <v>206</v>
      </c>
    </row>
    <row r="69" spans="1:12" x14ac:dyDescent="0.2">
      <c r="A69" t="s">
        <v>18</v>
      </c>
      <c r="B69" s="2">
        <v>0.02</v>
      </c>
    </row>
    <row r="70" spans="1:12" x14ac:dyDescent="0.2">
      <c r="A70" t="s">
        <v>216</v>
      </c>
      <c r="B70" s="2">
        <v>0.02</v>
      </c>
    </row>
    <row r="71" spans="1:12" x14ac:dyDescent="0.2">
      <c r="A71" t="s">
        <v>217</v>
      </c>
      <c r="B71" s="2">
        <v>0.02</v>
      </c>
      <c r="E71" s="163" t="s">
        <v>343</v>
      </c>
    </row>
    <row r="73" spans="1:12" x14ac:dyDescent="0.2">
      <c r="A73" s="169" t="s">
        <v>345</v>
      </c>
      <c r="B73" s="169" t="s">
        <v>63</v>
      </c>
      <c r="C73" s="169" t="s">
        <v>346</v>
      </c>
      <c r="D73" s="11" t="s">
        <v>347</v>
      </c>
      <c r="E73" s="169" t="s">
        <v>348</v>
      </c>
      <c r="F73" s="169" t="s">
        <v>349</v>
      </c>
      <c r="G73" s="169" t="s">
        <v>350</v>
      </c>
      <c r="H73" s="169" t="s">
        <v>351</v>
      </c>
      <c r="I73" s="169" t="s">
        <v>342</v>
      </c>
      <c r="J73" s="169" t="s">
        <v>352</v>
      </c>
      <c r="K73" s="169" t="s">
        <v>353</v>
      </c>
    </row>
    <row r="74" spans="1:12" x14ac:dyDescent="0.2">
      <c r="A74" s="169" t="s">
        <v>354</v>
      </c>
      <c r="B74" s="170">
        <v>1E-3</v>
      </c>
      <c r="C74" s="170">
        <v>8.9999999999999993E-3</v>
      </c>
      <c r="D74" s="171">
        <v>0.11</v>
      </c>
      <c r="E74" s="2">
        <v>0.2</v>
      </c>
      <c r="F74" s="2"/>
      <c r="G74" s="2">
        <v>0.155</v>
      </c>
      <c r="H74" s="2">
        <v>0.27</v>
      </c>
      <c r="I74" s="171">
        <v>0.10100000000000001</v>
      </c>
      <c r="J74" s="171">
        <v>8.8000000000000009E-2</v>
      </c>
      <c r="K74" s="2">
        <v>6.0999999999999999E-2</v>
      </c>
    </row>
    <row r="75" spans="1:12" x14ac:dyDescent="0.2">
      <c r="A75" s="169" t="s">
        <v>355</v>
      </c>
      <c r="B75" s="170">
        <v>1.5E-3</v>
      </c>
      <c r="C75" s="170">
        <v>4.1000000000000003E-3</v>
      </c>
      <c r="D75" s="171">
        <v>4.5999999999999999E-2</v>
      </c>
      <c r="E75" s="169"/>
      <c r="F75" s="169"/>
      <c r="G75" s="169"/>
      <c r="H75" s="169"/>
      <c r="I75" s="171">
        <v>0.03</v>
      </c>
      <c r="J75" s="171">
        <v>2.7E-2</v>
      </c>
      <c r="K75" s="2">
        <v>2.7E-2</v>
      </c>
    </row>
    <row r="76" spans="1:12" x14ac:dyDescent="0.2">
      <c r="A76" s="169" t="s">
        <v>356</v>
      </c>
      <c r="B76" s="170">
        <v>5.0000000000000001E-3</v>
      </c>
      <c r="C76" s="170">
        <v>6.4999999999999997E-3</v>
      </c>
      <c r="D76" s="171">
        <v>0.17599999999999999</v>
      </c>
      <c r="E76" s="2">
        <v>0.15</v>
      </c>
      <c r="F76" s="2">
        <v>0.25</v>
      </c>
      <c r="G76" s="171"/>
      <c r="H76" s="171"/>
      <c r="I76" s="171">
        <v>8.9999999999999993E-3</v>
      </c>
      <c r="J76" s="171">
        <v>3.5000000000000003E-2</v>
      </c>
      <c r="K76" s="171">
        <v>0.11799999999999999</v>
      </c>
    </row>
    <row r="77" spans="1:12" x14ac:dyDescent="0.2">
      <c r="A77" s="168" t="s">
        <v>357</v>
      </c>
      <c r="B77" s="170">
        <v>8.9999999999999998E-4</v>
      </c>
      <c r="C77" s="170">
        <v>5.0000000000000001E-4</v>
      </c>
      <c r="D77" s="171">
        <v>0.1</v>
      </c>
      <c r="E77" s="169"/>
      <c r="F77" s="169"/>
      <c r="G77" s="169"/>
      <c r="H77" s="169"/>
      <c r="I77" s="171">
        <v>6.0000000000000001E-3</v>
      </c>
      <c r="J77" s="171">
        <v>2.1000000000000001E-2</v>
      </c>
      <c r="K77" s="171">
        <v>6.9000000000000006E-2</v>
      </c>
    </row>
    <row r="78" spans="1:12" x14ac:dyDescent="0.2">
      <c r="A78" s="169"/>
      <c r="B78" s="169"/>
      <c r="C78" s="169"/>
      <c r="D78" s="169"/>
      <c r="E78" s="169"/>
      <c r="F78" s="169"/>
      <c r="G78" s="169"/>
      <c r="H78" s="169"/>
      <c r="I78" s="169"/>
      <c r="J78" s="169"/>
      <c r="K78" s="169"/>
    </row>
    <row r="79" spans="1:12" x14ac:dyDescent="0.2">
      <c r="A79" s="169"/>
      <c r="B79" s="169"/>
      <c r="C79" s="169"/>
      <c r="D79" s="169"/>
      <c r="E79" s="169"/>
      <c r="F79" s="169"/>
      <c r="G79" s="169"/>
      <c r="H79" s="169"/>
      <c r="I79" s="169"/>
      <c r="J79" s="169"/>
      <c r="K79" s="169"/>
    </row>
    <row r="80" spans="1:12" x14ac:dyDescent="0.2">
      <c r="A80" s="24"/>
      <c r="B80" s="29" t="s">
        <v>358</v>
      </c>
      <c r="C80" s="29" t="s">
        <v>370</v>
      </c>
      <c r="D80" s="29" t="s">
        <v>75</v>
      </c>
      <c r="E80" s="29" t="s">
        <v>69</v>
      </c>
      <c r="F80" s="29" t="s">
        <v>60</v>
      </c>
      <c r="G80" s="29" t="s">
        <v>304</v>
      </c>
      <c r="H80" s="29" t="s">
        <v>80</v>
      </c>
      <c r="I80" s="29" t="s">
        <v>71</v>
      </c>
      <c r="K80" s="169"/>
    </row>
    <row r="81" spans="1:11" x14ac:dyDescent="0.2">
      <c r="A81" s="168" t="s">
        <v>372</v>
      </c>
      <c r="B81" s="13">
        <v>2000</v>
      </c>
      <c r="C81" s="13">
        <v>2000</v>
      </c>
      <c r="D81" s="13">
        <v>2000</v>
      </c>
      <c r="E81" s="13">
        <v>2000</v>
      </c>
      <c r="F81" s="13">
        <v>2000</v>
      </c>
      <c r="G81" s="13">
        <v>2000</v>
      </c>
      <c r="H81" s="13">
        <v>2000</v>
      </c>
      <c r="I81" s="13">
        <v>2000</v>
      </c>
      <c r="K81" s="169"/>
    </row>
    <row r="82" spans="1:11" x14ac:dyDescent="0.2">
      <c r="A82" s="168" t="s">
        <v>373</v>
      </c>
      <c r="B82" s="169"/>
      <c r="C82" s="169"/>
      <c r="D82" s="169"/>
      <c r="E82" s="169"/>
      <c r="F82" s="169"/>
      <c r="G82" s="169"/>
      <c r="H82" s="169"/>
      <c r="I82" s="169"/>
      <c r="K82" s="169"/>
    </row>
    <row r="83" spans="1:11" x14ac:dyDescent="0.2">
      <c r="A83" s="168" t="s">
        <v>374</v>
      </c>
      <c r="B83" s="169"/>
      <c r="C83" s="169"/>
      <c r="D83" s="169"/>
      <c r="E83" s="169"/>
      <c r="F83" s="169"/>
      <c r="G83" s="169"/>
      <c r="H83" s="169"/>
      <c r="I83" s="169"/>
      <c r="K83" s="169"/>
    </row>
    <row r="84" spans="1:11" x14ac:dyDescent="0.2">
      <c r="A84" s="168" t="s">
        <v>375</v>
      </c>
      <c r="B84" s="169"/>
      <c r="C84" s="169"/>
      <c r="D84" s="169"/>
      <c r="E84" s="169"/>
      <c r="F84" s="169"/>
      <c r="G84" s="169"/>
      <c r="H84" s="169"/>
      <c r="I84" s="169"/>
      <c r="K84" s="169"/>
    </row>
    <row r="85" spans="1:11" x14ac:dyDescent="0.2">
      <c r="A85" s="168" t="s">
        <v>376</v>
      </c>
      <c r="B85" s="169">
        <v>30</v>
      </c>
      <c r="C85" s="169">
        <v>10</v>
      </c>
      <c r="D85" s="169"/>
      <c r="E85" s="169">
        <v>10</v>
      </c>
      <c r="F85" s="169">
        <v>10</v>
      </c>
      <c r="G85" s="169">
        <v>30</v>
      </c>
      <c r="H85" s="169"/>
      <c r="I85" s="169"/>
      <c r="K85" s="169"/>
    </row>
    <row r="86" spans="1:11" x14ac:dyDescent="0.2">
      <c r="A86" s="168" t="s">
        <v>377</v>
      </c>
      <c r="B86" s="169"/>
      <c r="C86" s="169"/>
      <c r="D86" s="169"/>
      <c r="E86" s="169"/>
      <c r="F86" s="169"/>
      <c r="G86" s="169"/>
      <c r="H86" s="169"/>
      <c r="I86" s="169"/>
      <c r="K86" s="169"/>
    </row>
    <row r="87" spans="1:11" x14ac:dyDescent="0.2">
      <c r="A87" s="168" t="s">
        <v>378</v>
      </c>
      <c r="B87" s="169"/>
      <c r="C87" s="169"/>
      <c r="D87" s="169"/>
      <c r="E87" s="169"/>
      <c r="F87" s="169"/>
      <c r="G87" s="169"/>
      <c r="H87" s="169"/>
      <c r="I87" s="169"/>
      <c r="K87" s="169"/>
    </row>
    <row r="88" spans="1:11" x14ac:dyDescent="0.2">
      <c r="A88" s="168" t="s">
        <v>379</v>
      </c>
      <c r="B88" s="169">
        <v>60</v>
      </c>
      <c r="C88" s="169">
        <v>20</v>
      </c>
      <c r="D88" s="169">
        <v>20</v>
      </c>
      <c r="E88" s="169">
        <v>50</v>
      </c>
      <c r="F88" s="169">
        <v>100</v>
      </c>
      <c r="G88" s="169">
        <v>100</v>
      </c>
      <c r="H88" s="169">
        <v>0</v>
      </c>
      <c r="I88" s="169">
        <v>0</v>
      </c>
      <c r="K88" s="169"/>
    </row>
    <row r="89" spans="1:11" x14ac:dyDescent="0.2">
      <c r="A89" s="168" t="s">
        <v>380</v>
      </c>
      <c r="B89" s="169"/>
      <c r="C89" s="169"/>
      <c r="D89" s="169"/>
      <c r="E89" s="169"/>
      <c r="F89" s="169"/>
      <c r="G89" s="169"/>
      <c r="H89" s="169"/>
      <c r="I89" s="169"/>
      <c r="K89" s="169"/>
    </row>
    <row r="90" spans="1:11" x14ac:dyDescent="0.2">
      <c r="A90" s="168" t="s">
        <v>381</v>
      </c>
      <c r="B90" s="169"/>
      <c r="C90" s="169"/>
      <c r="D90" s="169"/>
      <c r="E90" s="169"/>
      <c r="F90" s="169"/>
      <c r="G90" s="169"/>
      <c r="H90" s="169"/>
      <c r="I90" s="169"/>
      <c r="K90" s="169"/>
    </row>
    <row r="91" spans="1:11" x14ac:dyDescent="0.2">
      <c r="A91" s="29" t="s">
        <v>359</v>
      </c>
      <c r="B91" s="27">
        <v>0.2</v>
      </c>
      <c r="C91" s="27">
        <v>0.2</v>
      </c>
      <c r="D91" s="27">
        <v>0.2</v>
      </c>
      <c r="E91" s="27">
        <v>0.2</v>
      </c>
      <c r="F91" s="27">
        <v>0.4</v>
      </c>
      <c r="G91" s="27">
        <v>0.4</v>
      </c>
      <c r="H91" s="27">
        <v>0.2</v>
      </c>
      <c r="I91" s="27">
        <v>0.2</v>
      </c>
      <c r="K91" s="169"/>
    </row>
    <row r="92" spans="1:11" x14ac:dyDescent="0.2">
      <c r="A92" s="168" t="s">
        <v>382</v>
      </c>
      <c r="B92" s="169">
        <f>'Morot 1'!B157</f>
        <v>1.8100000000000005</v>
      </c>
      <c r="C92" s="169">
        <f>'Buntmorot 1'!B157</f>
        <v>0.39499999999999957</v>
      </c>
      <c r="D92" s="169">
        <f>'Buntlök 1'!B157</f>
        <v>1.9699999999999998</v>
      </c>
      <c r="E92" s="169">
        <f>'Sättlök 1'!B157</f>
        <v>5.0000000000000711E-2</v>
      </c>
      <c r="F92" s="169">
        <f>'Broccoli 1 '!B157</f>
        <v>11.100000000000001</v>
      </c>
      <c r="G92" s="169">
        <f>'Vitkål 1 '!B158</f>
        <v>1.7000000000000011</v>
      </c>
      <c r="H92" s="169">
        <f>'Brytböna 1'!B157</f>
        <v>1.5</v>
      </c>
      <c r="I92" s="169">
        <f>'Sockerärt 1'!B159</f>
        <v>2.5</v>
      </c>
      <c r="K92" s="169"/>
    </row>
    <row r="93" spans="1:11" x14ac:dyDescent="0.2">
      <c r="A93" s="168" t="s">
        <v>383</v>
      </c>
      <c r="B93" s="169">
        <f>'Morot 1'!C157</f>
        <v>3.15</v>
      </c>
      <c r="C93" s="169">
        <f>'Buntmorot 1'!C157</f>
        <v>2.4750000000000001</v>
      </c>
      <c r="D93" s="169">
        <f>'Buntlök 1'!C157</f>
        <v>2.9249999999999998</v>
      </c>
      <c r="E93" s="169">
        <f>'Sättlök 1'!C157</f>
        <v>3</v>
      </c>
      <c r="F93" s="169">
        <f>'Broccoli 1 '!C157</f>
        <v>5.2</v>
      </c>
      <c r="G93" s="169">
        <f>'Vitkål 1 '!C158</f>
        <v>4.2</v>
      </c>
      <c r="H93" s="169">
        <f>'Brytböna 1'!C157</f>
        <v>2.6</v>
      </c>
      <c r="I93" s="169">
        <f>'Sockerärt 1'!C159</f>
        <v>2.76</v>
      </c>
      <c r="K93" s="169"/>
    </row>
    <row r="94" spans="1:11" x14ac:dyDescent="0.2">
      <c r="A94" s="168" t="s">
        <v>384</v>
      </c>
      <c r="B94" s="169">
        <f>'Morot 1'!D157</f>
        <v>1.5399999999999991</v>
      </c>
      <c r="C94" s="169">
        <f>'Buntmorot 1'!D157</f>
        <v>1.4299999999999997</v>
      </c>
      <c r="D94" s="169">
        <f>'Buntlök 1'!D157</f>
        <v>6.58</v>
      </c>
      <c r="E94" s="169">
        <f>'Sättlök 1'!D157</f>
        <v>4.9499999999999993</v>
      </c>
      <c r="F94" s="169">
        <f>'Broccoli 1 '!D157</f>
        <v>9.1000000000000014</v>
      </c>
      <c r="G94" s="169">
        <f>'Vitkål 1 '!D158</f>
        <v>2.7999999999999989</v>
      </c>
      <c r="H94" s="169">
        <f>'Brytböna 1'!D157</f>
        <v>7.8</v>
      </c>
      <c r="I94" s="169">
        <f>'Sockerärt 1'!D159</f>
        <v>8.68</v>
      </c>
      <c r="K94" s="169"/>
    </row>
    <row r="97" spans="1:9" x14ac:dyDescent="0.2">
      <c r="A97" s="221"/>
      <c r="B97" s="220" t="s">
        <v>77</v>
      </c>
      <c r="C97" s="220" t="s">
        <v>370</v>
      </c>
      <c r="D97" s="220" t="s">
        <v>75</v>
      </c>
      <c r="E97" s="220" t="s">
        <v>427</v>
      </c>
      <c r="F97" s="220" t="s">
        <v>60</v>
      </c>
      <c r="G97" s="220" t="s">
        <v>304</v>
      </c>
      <c r="H97" s="220" t="s">
        <v>80</v>
      </c>
      <c r="I97" s="220" t="s">
        <v>71</v>
      </c>
    </row>
    <row r="98" spans="1:9" ht="25.5" x14ac:dyDescent="0.25">
      <c r="A98" s="53" t="s">
        <v>132</v>
      </c>
      <c r="B98" s="115" t="s">
        <v>253</v>
      </c>
      <c r="C98" s="115" t="s">
        <v>426</v>
      </c>
      <c r="D98" s="115" t="s">
        <v>426</v>
      </c>
      <c r="E98" s="115" t="s">
        <v>253</v>
      </c>
      <c r="F98" s="115" t="s">
        <v>253</v>
      </c>
      <c r="G98" s="115" t="s">
        <v>253</v>
      </c>
      <c r="H98" s="115" t="s">
        <v>253</v>
      </c>
      <c r="I98" s="115" t="s">
        <v>253</v>
      </c>
    </row>
    <row r="99" spans="1:9" x14ac:dyDescent="0.2">
      <c r="A99" s="221" t="s">
        <v>278</v>
      </c>
      <c r="B99" s="116">
        <f>'Morot 1'!D99</f>
        <v>4.8333452090109184</v>
      </c>
      <c r="C99" s="116">
        <f>'Buntmorot 1'!D99</f>
        <v>2.4852344845479748</v>
      </c>
      <c r="D99" s="116">
        <f>'Buntlök 1'!D99</f>
        <v>5.1760305346906881</v>
      </c>
      <c r="E99" s="116">
        <f>'Sättlök 1'!D99</f>
        <v>4.9609922844079426</v>
      </c>
      <c r="F99" s="116">
        <f>'Broccoli 1 '!D99</f>
        <v>21.37204907598213</v>
      </c>
      <c r="G99" s="116">
        <f>'Vitkål 1 '!D99</f>
        <v>4.5312550865641947</v>
      </c>
      <c r="H99" s="116">
        <f>'Brytböna 1'!D99</f>
        <v>17.783920414693156</v>
      </c>
      <c r="I99" s="116">
        <f>'Sockerärt 1'!D101</f>
        <v>51.417107773982593</v>
      </c>
    </row>
    <row r="100" spans="1:9" x14ac:dyDescent="0.2">
      <c r="A100" s="221" t="s">
        <v>254</v>
      </c>
      <c r="B100" s="116">
        <f>'Morot 1'!D100</f>
        <v>1.1188479192962948</v>
      </c>
      <c r="C100" s="116">
        <f>'Buntmorot 1'!D100</f>
        <v>0.58573428456405918</v>
      </c>
      <c r="D100" s="116">
        <f>'Buntlök 1'!D100</f>
        <v>0.98831402528124579</v>
      </c>
      <c r="E100" s="116">
        <f>'Sättlök 1'!D100</f>
        <v>1.0686307184875776</v>
      </c>
      <c r="F100" s="116">
        <f>'Broccoli 1 '!D100</f>
        <v>4.5941889783610996</v>
      </c>
      <c r="G100" s="116">
        <f>'Vitkål 1 '!D100</f>
        <v>0.89927768325206103</v>
      </c>
      <c r="H100" s="116">
        <f>'Brytböna 1'!D100</f>
        <v>4.4975616808973706</v>
      </c>
      <c r="I100" s="116">
        <f>'Sockerärt 1'!D102</f>
        <v>7.3210004444239702</v>
      </c>
    </row>
    <row r="101" spans="1:9" x14ac:dyDescent="0.2">
      <c r="A101" s="221" t="s">
        <v>258</v>
      </c>
      <c r="B101" s="116">
        <f>'Morot 1'!D101</f>
        <v>2.4881094416141765</v>
      </c>
      <c r="C101" s="116">
        <f>'Buntmorot 1'!D101</f>
        <v>7.3732376538430726</v>
      </c>
      <c r="D101" s="116">
        <f>'Buntlök 1'!D101</f>
        <v>7.4645528292219412</v>
      </c>
      <c r="E101" s="116">
        <f>'Sättlök 1'!D101</f>
        <v>2.7004951562750383</v>
      </c>
      <c r="F101" s="116">
        <f>'Broccoli 1 '!D101</f>
        <v>9.8133092903455434</v>
      </c>
      <c r="G101" s="116">
        <f>'Vitkål 1 '!D101</f>
        <v>1.4408891637823975</v>
      </c>
      <c r="H101" s="116">
        <f>'Brytböna 1'!D101</f>
        <v>28.494740186750178</v>
      </c>
      <c r="I101" s="116">
        <f>'Sockerärt 1'!D103</f>
        <v>74.035527257923164</v>
      </c>
    </row>
    <row r="102" spans="1:9" x14ac:dyDescent="0.2">
      <c r="A102" s="221" t="s">
        <v>231</v>
      </c>
      <c r="B102" s="116">
        <f>'Morot 1'!D102</f>
        <v>0.43106884951712238</v>
      </c>
      <c r="C102" s="116">
        <f>'Buntmorot 1'!D102</f>
        <v>0</v>
      </c>
      <c r="D102" s="116">
        <f>'Buntlök 1'!D102</f>
        <v>0</v>
      </c>
      <c r="E102" s="116">
        <f>'Sättlök 1'!D102</f>
        <v>0.37751443101967608</v>
      </c>
      <c r="F102" s="116">
        <f>'Broccoli 1 '!D102</f>
        <v>0</v>
      </c>
      <c r="G102" s="116">
        <f>'Vitkål 1 '!D102</f>
        <v>0.35332676272852331</v>
      </c>
      <c r="H102" s="116">
        <f>'Brytböna 1'!D102</f>
        <v>0</v>
      </c>
      <c r="I102" s="116">
        <f>'Sockerärt 1'!D104</f>
        <v>0</v>
      </c>
    </row>
    <row r="103" spans="1:9" x14ac:dyDescent="0.2">
      <c r="A103" s="221" t="s">
        <v>235</v>
      </c>
      <c r="B103" s="116">
        <f>'Morot 1'!D103</f>
        <v>2.3129211623246348</v>
      </c>
      <c r="C103" s="116">
        <f>'Buntmorot 1'!D103</f>
        <v>0.28222650235702373</v>
      </c>
      <c r="D103" s="116">
        <f>'Buntlök 1'!D103</f>
        <v>0.39987522616200633</v>
      </c>
      <c r="E103" s="116">
        <f>'Sättlök 1'!D103</f>
        <v>3.1082825564613383</v>
      </c>
      <c r="F103" s="116">
        <f>'Broccoli 1 '!D103</f>
        <v>1.1741026671354715</v>
      </c>
      <c r="G103" s="116">
        <f>'Vitkål 1 '!D103</f>
        <v>1.4530689012642926</v>
      </c>
      <c r="H103" s="116">
        <f>'Brytböna 1'!D103</f>
        <v>1.0336257249222924</v>
      </c>
      <c r="I103" s="116">
        <f>'Sockerärt 1'!D105</f>
        <v>1.5694254154242619</v>
      </c>
    </row>
    <row r="104" spans="1:9" x14ac:dyDescent="0.2">
      <c r="A104" s="24" t="s">
        <v>131</v>
      </c>
      <c r="B104" s="219">
        <f>'Morot 1'!D104</f>
        <v>5.2527526888028966</v>
      </c>
      <c r="C104" s="219">
        <f>'Buntmorot 1'!D104</f>
        <v>2.7498977163071636</v>
      </c>
      <c r="D104" s="219">
        <f>'Buntlök 1'!D104</f>
        <v>4.6399238575183812</v>
      </c>
      <c r="E104" s="219">
        <f>'Sättlök 1'!D104</f>
        <v>5.016993626268242</v>
      </c>
      <c r="F104" s="219">
        <f>'Broccoli 1 '!D104</f>
        <v>21.568738782776599</v>
      </c>
      <c r="G104" s="219">
        <f>'Vitkål 1 '!D104</f>
        <v>4.2219171946565259</v>
      </c>
      <c r="H104" s="219">
        <f>'Brytböna 1'!D104</f>
        <v>21.115094200871681</v>
      </c>
      <c r="I104" s="219">
        <f>'Sockerärt 1'!D106</f>
        <v>34.370537859481331</v>
      </c>
    </row>
    <row r="105" spans="1:9" x14ac:dyDescent="0.2">
      <c r="A105" s="221" t="s">
        <v>425</v>
      </c>
      <c r="B105" s="116">
        <f>SUM(B99:B104)</f>
        <v>16.437045270566045</v>
      </c>
      <c r="C105" s="116">
        <f t="shared" ref="C105:I105" si="4">SUM(C99:C104)</f>
        <v>13.476330641619294</v>
      </c>
      <c r="D105" s="116">
        <f t="shared" si="4"/>
        <v>18.668696472874259</v>
      </c>
      <c r="E105" s="116">
        <f t="shared" si="4"/>
        <v>17.232908772919814</v>
      </c>
      <c r="F105" s="116">
        <f t="shared" si="4"/>
        <v>58.522388794600843</v>
      </c>
      <c r="G105" s="116">
        <f t="shared" si="4"/>
        <v>12.899734792247994</v>
      </c>
      <c r="H105" s="116">
        <f t="shared" si="4"/>
        <v>72.924942208134681</v>
      </c>
      <c r="I105" s="116">
        <f t="shared" si="4"/>
        <v>168.71359875123534</v>
      </c>
    </row>
    <row r="106" spans="1:9" x14ac:dyDescent="0.2">
      <c r="A106" s="221"/>
      <c r="B106" s="221"/>
      <c r="C106" s="221"/>
      <c r="D106" s="221"/>
      <c r="E106" s="221"/>
      <c r="F106" s="221"/>
      <c r="G106" s="221"/>
      <c r="H106" s="221"/>
      <c r="I106" s="221"/>
    </row>
    <row r="107" spans="1:9" x14ac:dyDescent="0.2">
      <c r="A107" s="221" t="s">
        <v>428</v>
      </c>
      <c r="B107" s="13">
        <f>'Morot 1'!C9</f>
        <v>3849.9999999999995</v>
      </c>
      <c r="C107" s="13">
        <f>'Buntmorot 1'!C9</f>
        <v>7125</v>
      </c>
      <c r="D107" s="13">
        <f>'Buntlök 1'!C9</f>
        <v>4275</v>
      </c>
      <c r="E107" s="13">
        <f>'Sättlök 1'!C9</f>
        <v>4000</v>
      </c>
      <c r="F107" s="13">
        <f>'Broccoli 1 '!C9</f>
        <v>950</v>
      </c>
      <c r="G107" s="13">
        <f>'Vitkål 1 '!C9</f>
        <v>4800</v>
      </c>
      <c r="H107" s="13">
        <f>'Brytböna 1'!C9</f>
        <v>950</v>
      </c>
      <c r="I107" s="13">
        <f>'Sockerärt 1'!C9</f>
        <v>570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58"/>
  <sheetViews>
    <sheetView zoomScale="75" zoomScaleNormal="75" workbookViewId="0">
      <selection activeCell="B63" sqref="B63"/>
    </sheetView>
  </sheetViews>
  <sheetFormatPr defaultRowHeight="12.75" x14ac:dyDescent="0.2"/>
  <cols>
    <col min="1" max="1" width="35.42578125" customWidth="1"/>
    <col min="3" max="4" width="12" bestFit="1" customWidth="1"/>
    <col min="5" max="5" width="11" bestFit="1" customWidth="1"/>
    <col min="6" max="6" width="12" bestFit="1" customWidth="1"/>
    <col min="7" max="7" width="11" bestFit="1" customWidth="1"/>
    <col min="9" max="9" width="12" bestFit="1" customWidth="1"/>
  </cols>
  <sheetData>
    <row r="1" spans="1:21" ht="15.75" x14ac:dyDescent="0.25">
      <c r="A1" s="20" t="s">
        <v>219</v>
      </c>
      <c r="B1" s="20" t="s">
        <v>77</v>
      </c>
      <c r="C1" s="20"/>
      <c r="D1" s="20" t="s">
        <v>114</v>
      </c>
      <c r="E1" s="21"/>
      <c r="F1" s="20"/>
      <c r="G1" s="20"/>
      <c r="H1" s="21"/>
      <c r="I1" s="21"/>
      <c r="J1" s="21"/>
      <c r="K1" s="20" t="s">
        <v>282</v>
      </c>
      <c r="L1" s="21"/>
      <c r="M1" s="21"/>
      <c r="N1" s="21"/>
      <c r="O1" s="21"/>
      <c r="P1" s="21"/>
      <c r="Q1" s="21"/>
      <c r="R1" s="21"/>
      <c r="S1" s="21"/>
      <c r="T1" s="21"/>
      <c r="U1" s="21"/>
    </row>
    <row r="3" spans="1:21" x14ac:dyDescent="0.2">
      <c r="A3" s="62" t="s">
        <v>104</v>
      </c>
      <c r="C3" s="13">
        <v>1000</v>
      </c>
      <c r="D3" s="5" t="s">
        <v>283</v>
      </c>
      <c r="K3" s="222"/>
      <c r="L3" s="222"/>
      <c r="M3" s="222"/>
      <c r="N3" s="222"/>
      <c r="O3" s="222"/>
      <c r="P3" s="222"/>
      <c r="Q3" s="222"/>
      <c r="R3" s="222"/>
      <c r="S3" s="222"/>
    </row>
    <row r="4" spans="1:21" x14ac:dyDescent="0.2">
      <c r="A4" s="62" t="s">
        <v>4</v>
      </c>
      <c r="C4" s="13">
        <f>Grunduppgifter!C6</f>
        <v>5500</v>
      </c>
      <c r="D4" s="5" t="s">
        <v>271</v>
      </c>
    </row>
    <row r="5" spans="1:21" x14ac:dyDescent="0.2">
      <c r="A5" s="62" t="s">
        <v>96</v>
      </c>
      <c r="C5" s="2">
        <f>Grunduppgifter!D6</f>
        <v>0.7</v>
      </c>
    </row>
    <row r="6" spans="1:21" x14ac:dyDescent="0.2">
      <c r="B6" s="5"/>
      <c r="C6" s="3"/>
      <c r="K6" s="223"/>
      <c r="L6" s="224"/>
      <c r="M6" s="224"/>
      <c r="N6" s="224"/>
      <c r="O6" s="224"/>
      <c r="P6" s="224"/>
      <c r="Q6" s="224"/>
      <c r="R6" s="224"/>
      <c r="S6" s="224"/>
    </row>
    <row r="7" spans="1:21" x14ac:dyDescent="0.2">
      <c r="A7" s="24"/>
      <c r="B7" s="30" t="s">
        <v>122</v>
      </c>
      <c r="C7" s="49" t="s">
        <v>6</v>
      </c>
      <c r="D7" s="49" t="s">
        <v>115</v>
      </c>
      <c r="E7" s="49" t="s">
        <v>7</v>
      </c>
      <c r="F7" s="24"/>
      <c r="G7" s="24"/>
      <c r="H7" s="30" t="s">
        <v>124</v>
      </c>
      <c r="I7" s="7"/>
      <c r="J7" s="3"/>
    </row>
    <row r="8" spans="1:21" x14ac:dyDescent="0.2">
      <c r="A8" s="7" t="s">
        <v>5</v>
      </c>
      <c r="B8" s="3"/>
      <c r="C8" s="10"/>
      <c r="D8" s="10"/>
      <c r="E8" s="10"/>
      <c r="H8" s="3"/>
      <c r="I8" s="3"/>
      <c r="J8" s="3"/>
    </row>
    <row r="9" spans="1:21" x14ac:dyDescent="0.2">
      <c r="A9" t="s">
        <v>265</v>
      </c>
      <c r="B9" t="s">
        <v>14</v>
      </c>
      <c r="C9" s="39">
        <f>C4*C5</f>
        <v>3849.9999999999995</v>
      </c>
      <c r="D9" s="106">
        <f>(E66+E71-E10)/C9</f>
        <v>16.437045270566042</v>
      </c>
      <c r="E9" s="13">
        <f>C9*D9</f>
        <v>63282.624291679254</v>
      </c>
      <c r="H9" t="s">
        <v>116</v>
      </c>
      <c r="J9" s="12"/>
    </row>
    <row r="10" spans="1:21" x14ac:dyDescent="0.2">
      <c r="A10" s="24" t="s">
        <v>61</v>
      </c>
      <c r="B10" s="24"/>
      <c r="C10" s="24">
        <v>0.1</v>
      </c>
      <c r="D10" s="35">
        <f>Grunduppgifter!B61</f>
        <v>5000</v>
      </c>
      <c r="E10" s="26">
        <f>C10*D10</f>
        <v>500</v>
      </c>
      <c r="F10" s="24"/>
      <c r="G10" s="24"/>
      <c r="H10" s="24"/>
      <c r="J10" s="12"/>
    </row>
    <row r="11" spans="1:21" x14ac:dyDescent="0.2">
      <c r="A11" s="7" t="s">
        <v>118</v>
      </c>
      <c r="B11" s="7"/>
      <c r="C11" s="7"/>
      <c r="D11" s="44"/>
      <c r="E11" s="39">
        <f>SUM(E9:E10)</f>
        <v>63782.624291679254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T11" s="7"/>
      <c r="U11" s="7"/>
    </row>
    <row r="12" spans="1:21" x14ac:dyDescent="0.2">
      <c r="D12" s="4"/>
      <c r="E12" s="9"/>
    </row>
    <row r="13" spans="1:21" x14ac:dyDescent="0.2">
      <c r="A13" s="7" t="s">
        <v>220</v>
      </c>
      <c r="D13" s="4"/>
      <c r="E13" s="9"/>
    </row>
    <row r="14" spans="1:21" x14ac:dyDescent="0.2">
      <c r="A14" s="5" t="s">
        <v>221</v>
      </c>
      <c r="B14" t="s">
        <v>11</v>
      </c>
      <c r="C14">
        <f>D89</f>
        <v>24</v>
      </c>
      <c r="D14" s="9">
        <f>Grunduppgifter!B25</f>
        <v>283</v>
      </c>
      <c r="E14" s="13">
        <f t="shared" ref="E14:E33" si="0">C14*D14</f>
        <v>6792</v>
      </c>
      <c r="H14" t="s">
        <v>272</v>
      </c>
      <c r="O14" s="4"/>
      <c r="P14" s="4"/>
    </row>
    <row r="15" spans="1:21" x14ac:dyDescent="0.2">
      <c r="A15" s="5" t="s">
        <v>222</v>
      </c>
      <c r="B15" t="s">
        <v>11</v>
      </c>
      <c r="C15">
        <f>C89</f>
        <v>30</v>
      </c>
      <c r="D15" s="9">
        <f>Grunduppgifter!B26</f>
        <v>186</v>
      </c>
      <c r="E15" s="13">
        <f t="shared" si="0"/>
        <v>5580</v>
      </c>
      <c r="H15" t="s">
        <v>272</v>
      </c>
    </row>
    <row r="16" spans="1:21" x14ac:dyDescent="0.2">
      <c r="A16" s="181" t="s">
        <v>389</v>
      </c>
      <c r="B16" t="s">
        <v>266</v>
      </c>
      <c r="C16" s="107">
        <v>1.5</v>
      </c>
      <c r="D16" s="13">
        <v>1100</v>
      </c>
      <c r="E16" s="13">
        <f t="shared" si="0"/>
        <v>1650</v>
      </c>
      <c r="J16" s="4"/>
      <c r="M16" s="13"/>
      <c r="N16" s="13"/>
      <c r="O16" s="13"/>
      <c r="P16" s="13"/>
      <c r="Q16" s="13"/>
    </row>
    <row r="17" spans="1:17" x14ac:dyDescent="0.2">
      <c r="A17" t="str">
        <f>Grunduppgifter!A33</f>
        <v>Fiberduk</v>
      </c>
      <c r="B17" t="s">
        <v>283</v>
      </c>
      <c r="C17" s="96">
        <v>600</v>
      </c>
      <c r="D17" s="4">
        <f>Grunduppgifter!B33</f>
        <v>1.2</v>
      </c>
      <c r="E17" s="13">
        <f t="shared" si="0"/>
        <v>720</v>
      </c>
      <c r="H17" t="s">
        <v>405</v>
      </c>
      <c r="M17" s="13"/>
      <c r="N17" s="13"/>
      <c r="O17" s="13"/>
      <c r="P17" s="13"/>
      <c r="Q17" s="13"/>
    </row>
    <row r="18" spans="1:17" x14ac:dyDescent="0.2">
      <c r="A18" t="str">
        <f>Grunduppgifter!A35</f>
        <v>Stallgödsel</v>
      </c>
      <c r="B18" t="s">
        <v>14</v>
      </c>
      <c r="C18" s="13">
        <f>Grunduppgifter!B81</f>
        <v>2000</v>
      </c>
      <c r="D18" s="4">
        <f>Grunduppgifter!B35</f>
        <v>0.2</v>
      </c>
      <c r="E18" s="13">
        <f t="shared" si="0"/>
        <v>400</v>
      </c>
    </row>
    <row r="19" spans="1:17" x14ac:dyDescent="0.2">
      <c r="A19" t="s">
        <v>67</v>
      </c>
      <c r="C19">
        <v>1</v>
      </c>
      <c r="D19" s="13">
        <f>Grunduppgifter!B63</f>
        <v>1025.9546363636364</v>
      </c>
      <c r="E19" s="13">
        <f t="shared" si="0"/>
        <v>1025.9546363636364</v>
      </c>
      <c r="H19" t="s">
        <v>273</v>
      </c>
    </row>
    <row r="20" spans="1:17" x14ac:dyDescent="0.2">
      <c r="A20" t="s">
        <v>274</v>
      </c>
      <c r="C20" s="169">
        <f>C134</f>
        <v>60</v>
      </c>
      <c r="D20" s="4">
        <f>E134</f>
        <v>4.6920000000000011</v>
      </c>
      <c r="E20" s="13">
        <f t="shared" si="0"/>
        <v>281.52000000000004</v>
      </c>
    </row>
    <row r="21" spans="1:17" x14ac:dyDescent="0.2">
      <c r="A21" s="5" t="s">
        <v>178</v>
      </c>
      <c r="C21" s="169">
        <f>C138</f>
        <v>30</v>
      </c>
      <c r="D21" s="4">
        <f>E138</f>
        <v>5.4719999999999986</v>
      </c>
      <c r="E21" s="13">
        <f t="shared" si="0"/>
        <v>164.15999999999997</v>
      </c>
    </row>
    <row r="22" spans="1:17" x14ac:dyDescent="0.2">
      <c r="A22" s="5" t="s">
        <v>275</v>
      </c>
      <c r="C22" s="169">
        <v>1</v>
      </c>
      <c r="D22" s="4">
        <f>F141</f>
        <v>0</v>
      </c>
      <c r="E22" s="13">
        <f t="shared" si="0"/>
        <v>0</v>
      </c>
    </row>
    <row r="23" spans="1:17" x14ac:dyDescent="0.2">
      <c r="A23" t="s">
        <v>119</v>
      </c>
      <c r="B23" t="s">
        <v>11</v>
      </c>
      <c r="C23">
        <f>SUM(F79:F88)</f>
        <v>4</v>
      </c>
      <c r="D23" s="4">
        <f>Grunduppgifter!B30</f>
        <v>100</v>
      </c>
      <c r="E23" s="13">
        <f t="shared" si="0"/>
        <v>400</v>
      </c>
    </row>
    <row r="24" spans="1:17" x14ac:dyDescent="0.2">
      <c r="A24" t="s">
        <v>15</v>
      </c>
      <c r="B24" t="s">
        <v>16</v>
      </c>
      <c r="C24" s="107">
        <v>60</v>
      </c>
      <c r="D24" s="4">
        <f>Grunduppgifter!B31</f>
        <v>0.96</v>
      </c>
      <c r="E24" s="13">
        <f t="shared" si="0"/>
        <v>57.599999999999994</v>
      </c>
    </row>
    <row r="25" spans="1:17" x14ac:dyDescent="0.2">
      <c r="A25" t="s">
        <v>100</v>
      </c>
      <c r="B25" t="s">
        <v>14</v>
      </c>
      <c r="C25" s="107">
        <v>2</v>
      </c>
      <c r="D25" s="4">
        <f>Grunduppgifter!B32</f>
        <v>25</v>
      </c>
      <c r="E25" s="13">
        <f t="shared" si="0"/>
        <v>50</v>
      </c>
    </row>
    <row r="26" spans="1:17" x14ac:dyDescent="0.2">
      <c r="A26" s="5" t="str">
        <f>Grunduppgifter!A46</f>
        <v>Analyser</v>
      </c>
      <c r="B26" t="s">
        <v>12</v>
      </c>
      <c r="C26" s="107">
        <v>0.1</v>
      </c>
      <c r="D26" s="4">
        <f>Grunduppgifter!B46</f>
        <v>400</v>
      </c>
      <c r="E26" s="13">
        <f t="shared" si="0"/>
        <v>40</v>
      </c>
    </row>
    <row r="27" spans="1:17" x14ac:dyDescent="0.2">
      <c r="A27" s="29" t="str">
        <f>Grunduppgifter!A69</f>
        <v>Ränta rörelsekapital</v>
      </c>
      <c r="B27" s="24" t="s">
        <v>20</v>
      </c>
      <c r="C27" s="26">
        <f>SUM(E14:E26)</f>
        <v>17161.234636363635</v>
      </c>
      <c r="D27" s="108">
        <f>Grunduppgifter!B69</f>
        <v>0.02</v>
      </c>
      <c r="E27" s="26">
        <f t="shared" si="0"/>
        <v>343.22469272727272</v>
      </c>
      <c r="F27" s="24"/>
      <c r="G27" s="24"/>
      <c r="H27" s="24"/>
    </row>
    <row r="28" spans="1:17" x14ac:dyDescent="0.2">
      <c r="A28" s="7" t="s">
        <v>224</v>
      </c>
      <c r="D28" s="4"/>
      <c r="E28" s="39">
        <f>SUM(E14:E27)</f>
        <v>17504.459329090907</v>
      </c>
    </row>
    <row r="29" spans="1:17" x14ac:dyDescent="0.2">
      <c r="A29" s="7"/>
      <c r="D29" s="4"/>
      <c r="E29" s="39"/>
    </row>
    <row r="30" spans="1:17" x14ac:dyDescent="0.2">
      <c r="A30" s="5" t="s">
        <v>276</v>
      </c>
      <c r="C30">
        <v>0.1</v>
      </c>
      <c r="D30" s="13">
        <f>'Maskiner 1'!F32</f>
        <v>24747.136173216168</v>
      </c>
      <c r="E30" s="13">
        <f t="shared" si="0"/>
        <v>2474.7136173216168</v>
      </c>
    </row>
    <row r="31" spans="1:17" x14ac:dyDescent="0.2">
      <c r="A31" s="5" t="s">
        <v>225</v>
      </c>
      <c r="C31">
        <v>0.1</v>
      </c>
      <c r="D31" s="13">
        <f>'Maskiner 1'!K30/2</f>
        <v>7115.6718125290399</v>
      </c>
      <c r="E31" s="13">
        <f t="shared" si="0"/>
        <v>711.56718125290399</v>
      </c>
    </row>
    <row r="32" spans="1:17" x14ac:dyDescent="0.2">
      <c r="A32" t="s">
        <v>25</v>
      </c>
      <c r="C32">
        <v>0.1</v>
      </c>
      <c r="D32" s="13">
        <f>Grunduppgifter!B60</f>
        <v>6000</v>
      </c>
      <c r="E32" s="13">
        <f t="shared" si="0"/>
        <v>600</v>
      </c>
    </row>
    <row r="33" spans="1:21" x14ac:dyDescent="0.2">
      <c r="A33" s="29" t="s">
        <v>399</v>
      </c>
      <c r="B33" s="24"/>
      <c r="C33" s="31">
        <f>0.1/Grunduppgifter!B20</f>
        <v>3.3333333333333333E-2</v>
      </c>
      <c r="D33" s="26">
        <f>Grunduppgifter!B64</f>
        <v>4500</v>
      </c>
      <c r="E33" s="26">
        <f t="shared" si="0"/>
        <v>150</v>
      </c>
      <c r="F33" s="24"/>
      <c r="G33" s="24"/>
      <c r="H33" s="24"/>
    </row>
    <row r="34" spans="1:21" x14ac:dyDescent="0.2">
      <c r="A34" s="7" t="s">
        <v>226</v>
      </c>
      <c r="D34" s="4"/>
      <c r="E34" s="13">
        <f>SUM(E30:E33)</f>
        <v>3936.2807985745208</v>
      </c>
    </row>
    <row r="35" spans="1:21" x14ac:dyDescent="0.2">
      <c r="A35" s="7" t="s">
        <v>227</v>
      </c>
      <c r="D35" s="4"/>
      <c r="E35" s="39">
        <f>SUM(E28:E33)</f>
        <v>21440.740127665427</v>
      </c>
    </row>
    <row r="36" spans="1:21" x14ac:dyDescent="0.2">
      <c r="A36" s="7"/>
      <c r="D36" s="4"/>
      <c r="E36" s="13"/>
    </row>
    <row r="37" spans="1:21" x14ac:dyDescent="0.2">
      <c r="A37" s="7" t="s">
        <v>36</v>
      </c>
      <c r="D37" s="4"/>
      <c r="E37" s="13"/>
    </row>
    <row r="38" spans="1:21" x14ac:dyDescent="0.2">
      <c r="A38" s="5" t="s">
        <v>221</v>
      </c>
      <c r="B38" t="s">
        <v>11</v>
      </c>
      <c r="C38" s="9">
        <f>D91</f>
        <v>7.333333333333333</v>
      </c>
      <c r="D38" s="9">
        <f>Grunduppgifter!B25</f>
        <v>283</v>
      </c>
      <c r="E38" s="13">
        <f>C38*D38</f>
        <v>2075.333333333333</v>
      </c>
      <c r="H38" t="s">
        <v>272</v>
      </c>
    </row>
    <row r="39" spans="1:21" x14ac:dyDescent="0.2">
      <c r="A39" s="5" t="s">
        <v>222</v>
      </c>
      <c r="B39" t="s">
        <v>11</v>
      </c>
      <c r="C39" s="9">
        <f>C91</f>
        <v>29.333333333333332</v>
      </c>
      <c r="D39" s="9">
        <f>Grunduppgifter!B26</f>
        <v>186</v>
      </c>
      <c r="E39" s="13">
        <f>C39*D39</f>
        <v>5456</v>
      </c>
    </row>
    <row r="40" spans="1:21" x14ac:dyDescent="0.2">
      <c r="A40" t="s">
        <v>228</v>
      </c>
      <c r="C40">
        <v>0.1</v>
      </c>
      <c r="D40" s="13"/>
      <c r="E40" s="13">
        <f>C40*D40</f>
        <v>0</v>
      </c>
    </row>
    <row r="41" spans="1:21" x14ac:dyDescent="0.2">
      <c r="A41" s="29" t="s">
        <v>229</v>
      </c>
      <c r="B41" s="24" t="s">
        <v>11</v>
      </c>
      <c r="C41" s="26">
        <f>SUM(F91:F93)</f>
        <v>12.222222222222221</v>
      </c>
      <c r="D41" s="26">
        <f>Grunduppgifter!B30</f>
        <v>100</v>
      </c>
      <c r="E41" s="26">
        <f>C41*D41</f>
        <v>1222.2222222222222</v>
      </c>
      <c r="F41" s="24"/>
      <c r="G41" s="24"/>
      <c r="H41" s="24"/>
    </row>
    <row r="42" spans="1:21" x14ac:dyDescent="0.2">
      <c r="A42" s="7" t="s">
        <v>230</v>
      </c>
      <c r="B42" s="7"/>
      <c r="C42" s="7"/>
      <c r="D42" s="7"/>
      <c r="E42" s="39">
        <f>SUM(E38:E41)</f>
        <v>8753.5555555555547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T42" s="7"/>
      <c r="U42" s="7"/>
    </row>
    <row r="43" spans="1:21" x14ac:dyDescent="0.2">
      <c r="A43" s="7"/>
      <c r="B43" s="7"/>
      <c r="C43" s="7"/>
      <c r="D43" s="7"/>
      <c r="E43" s="39"/>
      <c r="F43" s="7"/>
      <c r="G43" s="7"/>
      <c r="H43" s="7"/>
      <c r="I43" s="7"/>
      <c r="J43" s="7"/>
      <c r="M43" s="4"/>
      <c r="N43" s="4"/>
      <c r="O43" s="4"/>
      <c r="P43" s="4"/>
      <c r="Q43" s="4"/>
      <c r="R43" s="7"/>
      <c r="T43" s="7"/>
      <c r="U43" s="7"/>
    </row>
    <row r="44" spans="1:21" x14ac:dyDescent="0.2">
      <c r="A44" s="7" t="s">
        <v>231</v>
      </c>
      <c r="B44" s="7"/>
      <c r="C44" s="7"/>
      <c r="D44" s="7"/>
      <c r="E44" s="39"/>
      <c r="F44" s="7"/>
      <c r="G44" s="7"/>
      <c r="H44" s="7"/>
      <c r="I44" s="7"/>
      <c r="J44" s="7"/>
      <c r="M44" s="4"/>
      <c r="N44" s="4"/>
      <c r="O44" s="4"/>
      <c r="P44" s="4"/>
      <c r="Q44" s="4"/>
      <c r="R44" s="7"/>
      <c r="T44" s="7"/>
      <c r="U44" s="7"/>
    </row>
    <row r="45" spans="1:21" x14ac:dyDescent="0.2">
      <c r="A45" s="5" t="s">
        <v>232</v>
      </c>
      <c r="B45" t="s">
        <v>11</v>
      </c>
      <c r="C45">
        <f>D92</f>
        <v>1</v>
      </c>
      <c r="D45" s="9">
        <f>Grunduppgifter!B25</f>
        <v>283</v>
      </c>
      <c r="E45" s="13">
        <f>C45*D45</f>
        <v>283</v>
      </c>
      <c r="I45" s="7"/>
      <c r="J45" s="7"/>
      <c r="M45" s="4"/>
      <c r="N45" s="4"/>
      <c r="O45" s="4"/>
      <c r="P45" s="4"/>
      <c r="Q45" s="4"/>
      <c r="R45" s="7"/>
      <c r="T45" s="7"/>
      <c r="U45" s="7"/>
    </row>
    <row r="46" spans="1:21" x14ac:dyDescent="0.2">
      <c r="A46" s="5" t="s">
        <v>58</v>
      </c>
      <c r="B46" t="s">
        <v>16</v>
      </c>
      <c r="C46" s="96">
        <v>200</v>
      </c>
      <c r="D46" s="4">
        <f>Grunduppgifter!B31</f>
        <v>0.96</v>
      </c>
      <c r="E46" s="13">
        <f>D46*C46</f>
        <v>192</v>
      </c>
      <c r="I46" s="7"/>
      <c r="J46" s="7"/>
      <c r="M46" s="4"/>
      <c r="N46" s="4"/>
      <c r="O46" s="4"/>
      <c r="P46" s="4"/>
      <c r="Q46" s="4"/>
      <c r="R46" s="7"/>
      <c r="T46" s="7"/>
      <c r="U46" s="7"/>
    </row>
    <row r="47" spans="1:21" x14ac:dyDescent="0.2">
      <c r="A47" t="s">
        <v>233</v>
      </c>
      <c r="C47" s="136">
        <v>0.1</v>
      </c>
      <c r="D47" s="13">
        <f>'Maskiner 1'!K30/2</f>
        <v>7115.6718125290399</v>
      </c>
      <c r="E47" s="13">
        <f>D47*C47</f>
        <v>711.56718125290399</v>
      </c>
      <c r="I47" s="7"/>
      <c r="J47" s="7"/>
      <c r="M47" s="4"/>
      <c r="N47" s="4"/>
      <c r="O47" s="4"/>
      <c r="P47" s="4"/>
      <c r="Q47" s="4"/>
      <c r="R47" s="7"/>
      <c r="T47" s="7"/>
      <c r="U47" s="7"/>
    </row>
    <row r="48" spans="1:21" x14ac:dyDescent="0.2">
      <c r="A48" s="24" t="str">
        <f>Grunduppgifter!A47</f>
        <v>Lagerlådor</v>
      </c>
      <c r="B48" s="27" t="s">
        <v>14</v>
      </c>
      <c r="C48" s="26">
        <f>C4/2</f>
        <v>2750</v>
      </c>
      <c r="D48" s="31">
        <f>Grunduppgifter!B47</f>
        <v>0.12</v>
      </c>
      <c r="E48" s="26">
        <f>D48*C48</f>
        <v>330</v>
      </c>
      <c r="F48" s="24"/>
      <c r="G48" s="24"/>
      <c r="H48" s="24"/>
      <c r="I48" s="7"/>
      <c r="J48" s="7"/>
      <c r="M48" s="4"/>
      <c r="N48" s="4"/>
      <c r="O48" s="4"/>
      <c r="P48" s="4"/>
      <c r="Q48" s="4"/>
      <c r="R48" s="7"/>
      <c r="T48" s="7"/>
      <c r="U48" s="7"/>
    </row>
    <row r="49" spans="1:21" x14ac:dyDescent="0.2">
      <c r="A49" s="7" t="s">
        <v>234</v>
      </c>
      <c r="C49" s="13"/>
      <c r="D49" s="4"/>
      <c r="E49" s="39">
        <f>SUM(E45:E48)</f>
        <v>1516.567181252904</v>
      </c>
      <c r="I49" s="7"/>
      <c r="J49" s="7"/>
      <c r="M49" s="4"/>
      <c r="N49" s="4"/>
      <c r="O49" s="4"/>
      <c r="P49" s="4"/>
      <c r="Q49" s="4"/>
      <c r="R49" s="7"/>
      <c r="T49" s="7"/>
      <c r="U49" s="7"/>
    </row>
    <row r="50" spans="1:21" x14ac:dyDescent="0.2">
      <c r="A50" s="5"/>
      <c r="C50" s="13"/>
      <c r="D50" s="4"/>
      <c r="E50" s="13"/>
      <c r="I50" s="7"/>
      <c r="J50" s="7"/>
      <c r="M50" s="4"/>
      <c r="N50" s="4"/>
      <c r="O50" s="4"/>
      <c r="P50" s="4"/>
      <c r="Q50" s="4"/>
      <c r="R50" s="7"/>
      <c r="T50" s="7"/>
      <c r="U50" s="7"/>
    </row>
    <row r="51" spans="1:21" x14ac:dyDescent="0.2">
      <c r="A51" s="7" t="s">
        <v>235</v>
      </c>
      <c r="C51" s="13"/>
      <c r="D51" s="4"/>
      <c r="E51" s="13"/>
      <c r="I51" s="7"/>
      <c r="J51" s="7"/>
      <c r="M51" s="4"/>
      <c r="N51" s="4"/>
      <c r="O51" s="4"/>
      <c r="P51" s="4"/>
      <c r="Q51" s="4"/>
      <c r="R51" s="7"/>
      <c r="T51" s="7"/>
      <c r="U51" s="7"/>
    </row>
    <row r="52" spans="1:21" x14ac:dyDescent="0.2">
      <c r="A52" s="5" t="s">
        <v>221</v>
      </c>
      <c r="B52" t="s">
        <v>11</v>
      </c>
      <c r="C52" s="14">
        <f>D93</f>
        <v>6.4166666666666661</v>
      </c>
      <c r="D52" s="9">
        <f>Grunduppgifter!B25</f>
        <v>283</v>
      </c>
      <c r="E52" s="13">
        <f>C52*D52</f>
        <v>1815.9166666666665</v>
      </c>
      <c r="I52" s="7"/>
      <c r="J52" s="7"/>
      <c r="M52" s="4"/>
      <c r="N52" s="4"/>
      <c r="O52" s="4"/>
      <c r="P52" s="4"/>
      <c r="Q52" s="4"/>
      <c r="R52" s="7"/>
      <c r="T52" s="7"/>
      <c r="U52" s="7"/>
    </row>
    <row r="53" spans="1:21" x14ac:dyDescent="0.2">
      <c r="A53" s="5" t="s">
        <v>222</v>
      </c>
      <c r="B53" t="s">
        <v>11</v>
      </c>
      <c r="C53" s="14">
        <f>C93</f>
        <v>25.666666666666664</v>
      </c>
      <c r="D53" s="9">
        <f>Grunduppgifter!B26</f>
        <v>186</v>
      </c>
      <c r="E53" s="13">
        <f>C53*D53</f>
        <v>4774</v>
      </c>
      <c r="I53" s="7"/>
      <c r="J53" s="7"/>
      <c r="M53" s="4"/>
      <c r="N53" s="4"/>
      <c r="O53" s="4"/>
      <c r="P53" s="4"/>
      <c r="Q53" s="4"/>
      <c r="R53" s="7"/>
      <c r="T53" s="7"/>
      <c r="U53" s="7"/>
    </row>
    <row r="54" spans="1:21" x14ac:dyDescent="0.2">
      <c r="A54" t="s">
        <v>267</v>
      </c>
      <c r="C54">
        <v>0.1</v>
      </c>
      <c r="D54" s="13"/>
      <c r="E54" s="13">
        <f>C54*D54</f>
        <v>0</v>
      </c>
      <c r="I54" s="7"/>
      <c r="J54" s="7"/>
      <c r="M54" s="4"/>
      <c r="N54" s="4"/>
      <c r="O54" s="4"/>
      <c r="P54" s="4"/>
      <c r="Q54" s="4"/>
      <c r="R54" s="7"/>
      <c r="T54" s="7"/>
      <c r="U54" s="7"/>
    </row>
    <row r="55" spans="1:21" x14ac:dyDescent="0.2">
      <c r="A55" s="5" t="s">
        <v>236</v>
      </c>
      <c r="C55">
        <v>0.1</v>
      </c>
      <c r="D55" s="13">
        <f>'Maskiner 1'!J30</f>
        <v>6566.3263932658247</v>
      </c>
      <c r="E55" s="13">
        <f>C55*D55</f>
        <v>656.63263932658253</v>
      </c>
      <c r="I55" s="7"/>
      <c r="J55" s="7"/>
      <c r="M55" s="4"/>
      <c r="N55" s="4"/>
      <c r="O55" s="4"/>
      <c r="P55" s="4"/>
      <c r="Q55" s="4"/>
      <c r="R55" s="7"/>
      <c r="T55" s="7"/>
      <c r="U55" s="7"/>
    </row>
    <row r="56" spans="1:21" x14ac:dyDescent="0.2">
      <c r="A56" s="5" t="s">
        <v>391</v>
      </c>
      <c r="B56" t="s">
        <v>16</v>
      </c>
      <c r="C56" s="96">
        <v>500</v>
      </c>
      <c r="D56" s="4">
        <f>Grunduppgifter!B31</f>
        <v>0.96</v>
      </c>
      <c r="E56" s="13">
        <f>D56*C56</f>
        <v>480</v>
      </c>
      <c r="I56" s="7"/>
      <c r="J56" s="7"/>
      <c r="M56" s="4"/>
      <c r="N56" s="4"/>
      <c r="O56" s="4"/>
      <c r="P56" s="4"/>
      <c r="Q56" s="4"/>
      <c r="R56" s="7"/>
      <c r="T56" s="7"/>
      <c r="U56" s="7"/>
    </row>
    <row r="57" spans="1:21" x14ac:dyDescent="0.2">
      <c r="A57" s="5" t="s">
        <v>268</v>
      </c>
      <c r="B57" t="s">
        <v>269</v>
      </c>
      <c r="C57" s="13">
        <f>C9</f>
        <v>3849.9999999999995</v>
      </c>
      <c r="D57" s="4">
        <v>0</v>
      </c>
      <c r="E57" s="13">
        <f>C57*D57</f>
        <v>0</v>
      </c>
      <c r="I57" s="7"/>
      <c r="J57" s="7"/>
      <c r="M57" s="4"/>
      <c r="N57" s="4"/>
      <c r="O57" s="4"/>
      <c r="P57" s="4"/>
      <c r="Q57" s="4"/>
      <c r="R57" s="7"/>
      <c r="T57" s="7"/>
      <c r="U57" s="7"/>
    </row>
    <row r="58" spans="1:21" x14ac:dyDescent="0.2">
      <c r="A58" s="29" t="s">
        <v>287</v>
      </c>
      <c r="B58" s="24" t="s">
        <v>120</v>
      </c>
      <c r="C58" s="26">
        <f>C9/15</f>
        <v>256.66666666666663</v>
      </c>
      <c r="D58" s="31">
        <v>1.6</v>
      </c>
      <c r="E58" s="26">
        <f>C58*D58</f>
        <v>410.66666666666663</v>
      </c>
      <c r="F58" s="24"/>
      <c r="G58" s="24"/>
      <c r="H58" s="24"/>
      <c r="I58" s="7"/>
      <c r="J58" s="7"/>
      <c r="M58" s="4"/>
      <c r="N58" s="4"/>
      <c r="O58" s="4"/>
      <c r="P58" s="4"/>
      <c r="Q58" s="4"/>
      <c r="R58" s="7"/>
      <c r="T58" s="7"/>
      <c r="U58" s="7"/>
    </row>
    <row r="59" spans="1:21" x14ac:dyDescent="0.2">
      <c r="A59" s="7" t="s">
        <v>238</v>
      </c>
      <c r="C59" s="13"/>
      <c r="D59" s="4"/>
      <c r="E59" s="39">
        <f>SUM(E52:E58)</f>
        <v>8137.2159726599157</v>
      </c>
      <c r="I59" s="7"/>
      <c r="J59" s="7"/>
      <c r="M59" s="4"/>
      <c r="N59" s="4"/>
      <c r="O59" s="4"/>
      <c r="P59" s="4"/>
      <c r="Q59" s="4"/>
      <c r="R59" s="7"/>
      <c r="T59" s="7"/>
      <c r="U59" s="7"/>
    </row>
    <row r="60" spans="1:21" x14ac:dyDescent="0.2">
      <c r="A60" s="5"/>
      <c r="C60" s="13"/>
      <c r="D60" s="4"/>
      <c r="E60" s="13"/>
      <c r="I60" s="7"/>
      <c r="J60" s="7"/>
      <c r="M60" s="4"/>
      <c r="N60" s="4"/>
      <c r="O60" s="4"/>
      <c r="P60" s="4"/>
      <c r="Q60" s="4"/>
      <c r="R60" s="7"/>
      <c r="T60" s="7"/>
      <c r="U60" s="7"/>
    </row>
    <row r="61" spans="1:21" x14ac:dyDescent="0.2">
      <c r="A61" s="7" t="s">
        <v>131</v>
      </c>
      <c r="C61" s="13"/>
      <c r="D61" s="4"/>
      <c r="E61" s="13"/>
      <c r="I61" s="7"/>
      <c r="J61" s="7"/>
      <c r="M61" s="4"/>
      <c r="N61" s="4"/>
      <c r="O61" s="4"/>
      <c r="P61" s="4"/>
      <c r="Q61" s="4"/>
      <c r="R61" s="7"/>
      <c r="T61" s="7"/>
      <c r="U61" s="7"/>
    </row>
    <row r="62" spans="1:21" x14ac:dyDescent="0.2">
      <c r="A62" t="s">
        <v>19</v>
      </c>
      <c r="B62" s="5"/>
      <c r="C62" s="13">
        <v>1</v>
      </c>
      <c r="D62" s="9">
        <f>Grunduppgifter!B58</f>
        <v>1500</v>
      </c>
      <c r="E62" s="13">
        <f>C62*D62</f>
        <v>1500</v>
      </c>
      <c r="F62" s="13"/>
      <c r="H62" t="s">
        <v>139</v>
      </c>
      <c r="I62" s="7"/>
      <c r="J62" s="7"/>
      <c r="M62" s="4"/>
      <c r="N62" s="4"/>
      <c r="O62" s="4"/>
      <c r="P62" s="4"/>
      <c r="Q62" s="4"/>
      <c r="R62" s="7"/>
      <c r="T62" s="7"/>
      <c r="U62" s="7"/>
    </row>
    <row r="63" spans="1:21" x14ac:dyDescent="0.2">
      <c r="A63" s="24" t="s">
        <v>134</v>
      </c>
      <c r="B63" s="109" t="s">
        <v>11</v>
      </c>
      <c r="C63" s="26">
        <f>D94</f>
        <v>60</v>
      </c>
      <c r="D63" s="28">
        <f>Grunduppgifter!B25</f>
        <v>283</v>
      </c>
      <c r="E63" s="26">
        <f>C63*D63</f>
        <v>16980</v>
      </c>
      <c r="F63" s="26"/>
      <c r="G63" s="24"/>
      <c r="H63" s="24" t="s">
        <v>139</v>
      </c>
      <c r="I63" s="7"/>
      <c r="J63" s="7"/>
      <c r="M63" s="4"/>
      <c r="N63" s="4"/>
      <c r="O63" s="4"/>
      <c r="P63" s="4"/>
      <c r="Q63" s="4"/>
      <c r="R63" s="7"/>
      <c r="T63" s="7"/>
      <c r="U63" s="7"/>
    </row>
    <row r="64" spans="1:21" x14ac:dyDescent="0.2">
      <c r="A64" s="7" t="s">
        <v>239</v>
      </c>
      <c r="B64" s="7"/>
      <c r="C64" s="7"/>
      <c r="D64" s="7"/>
      <c r="E64" s="39">
        <f>SUM(E62:E63)</f>
        <v>18480</v>
      </c>
      <c r="F64" s="7"/>
      <c r="G64" s="7"/>
      <c r="H64" s="7"/>
      <c r="I64" s="7"/>
      <c r="J64" s="7"/>
      <c r="M64" s="4"/>
      <c r="N64" s="4"/>
      <c r="O64" s="4"/>
      <c r="P64" s="4"/>
      <c r="Q64" s="4"/>
      <c r="R64" s="7"/>
      <c r="T64" s="7"/>
      <c r="U64" s="7"/>
    </row>
    <row r="65" spans="1:21" x14ac:dyDescent="0.2">
      <c r="A65" s="30"/>
      <c r="B65" s="24"/>
      <c r="C65" s="24"/>
      <c r="D65" s="24"/>
      <c r="E65" s="26"/>
      <c r="F65" s="24"/>
      <c r="G65" s="24"/>
      <c r="H65" s="24"/>
      <c r="S65" s="7"/>
    </row>
    <row r="66" spans="1:21" x14ac:dyDescent="0.2">
      <c r="A66" s="7" t="s">
        <v>240</v>
      </c>
      <c r="B66" s="46"/>
      <c r="C66" s="46"/>
      <c r="D66" s="46"/>
      <c r="E66" s="110">
        <f>E35+E42+E49+E59+E64</f>
        <v>58328.078837133799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7"/>
      <c r="T66" s="46"/>
      <c r="U66" s="46"/>
    </row>
    <row r="67" spans="1:21" x14ac:dyDescent="0.2">
      <c r="A67" s="46"/>
      <c r="E67" s="13"/>
      <c r="S67" s="7"/>
    </row>
    <row r="68" spans="1:21" x14ac:dyDescent="0.2">
      <c r="A68" s="7" t="s">
        <v>241</v>
      </c>
      <c r="E68" s="9"/>
    </row>
    <row r="69" spans="1:21" x14ac:dyDescent="0.2">
      <c r="A69" t="s">
        <v>121</v>
      </c>
      <c r="C69">
        <v>0.1</v>
      </c>
      <c r="D69" s="13">
        <f>Grunduppgifter!B67/(Grunduppgifter!B21+0.05*(Grunduppgifter!B20-Grunduppgifter!B21))</f>
        <v>27272.727272727272</v>
      </c>
      <c r="E69" s="13">
        <f>C69*D69</f>
        <v>2727.2727272727275</v>
      </c>
    </row>
    <row r="70" spans="1:21" x14ac:dyDescent="0.2">
      <c r="A70" s="24" t="s">
        <v>215</v>
      </c>
      <c r="B70" s="24"/>
      <c r="C70" s="24">
        <v>0.1</v>
      </c>
      <c r="D70" s="26">
        <f>Grunduppgifter!B68/(Grunduppgifter!B21+0.05*(Grunduppgifter!B20-Grunduppgifter!B21))</f>
        <v>27272.727272727272</v>
      </c>
      <c r="E70" s="26">
        <f>C70*D70</f>
        <v>2727.2727272727275</v>
      </c>
      <c r="F70" s="24"/>
      <c r="G70" s="24"/>
      <c r="H70" s="24"/>
      <c r="R70" s="7"/>
    </row>
    <row r="71" spans="1:21" x14ac:dyDescent="0.2">
      <c r="A71" s="7" t="s">
        <v>242</v>
      </c>
      <c r="B71" s="7"/>
      <c r="C71" s="7"/>
      <c r="D71" s="39"/>
      <c r="E71" s="39">
        <f>SUM(E69:E70)</f>
        <v>5454.545454545455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T71" s="7"/>
      <c r="U71" s="7"/>
    </row>
    <row r="72" spans="1:21" x14ac:dyDescent="0.2">
      <c r="A72" s="46"/>
      <c r="D72" s="13"/>
      <c r="E72" s="13"/>
      <c r="F72" s="13">
        <f>E66+E71</f>
        <v>63782.624291679254</v>
      </c>
      <c r="R72" s="7"/>
      <c r="S72" s="5"/>
    </row>
    <row r="73" spans="1:21" x14ac:dyDescent="0.2">
      <c r="A73" s="30" t="s">
        <v>0</v>
      </c>
      <c r="B73" s="24"/>
      <c r="C73" s="24"/>
      <c r="D73" s="24"/>
      <c r="E73" s="52">
        <f>E11-E66-E71</f>
        <v>0</v>
      </c>
      <c r="F73" s="24"/>
      <c r="G73" s="24"/>
      <c r="H73" s="24"/>
      <c r="S73" s="7"/>
    </row>
    <row r="74" spans="1:21" x14ac:dyDescent="0.2">
      <c r="A74" s="7"/>
      <c r="E74" s="9"/>
      <c r="S74" s="7"/>
    </row>
    <row r="75" spans="1:21" x14ac:dyDescent="0.2">
      <c r="A75" s="7"/>
      <c r="C75" s="142"/>
      <c r="D75" s="142"/>
      <c r="E75" s="142"/>
      <c r="F75" s="142"/>
      <c r="G75" s="142"/>
      <c r="H75" s="142"/>
    </row>
    <row r="76" spans="1:21" ht="15.75" x14ac:dyDescent="0.25">
      <c r="A76" s="53" t="s">
        <v>243</v>
      </c>
      <c r="B76" s="24"/>
      <c r="C76" s="24"/>
      <c r="D76" s="24"/>
      <c r="E76" s="24"/>
      <c r="F76" s="24"/>
      <c r="G76" s="24"/>
      <c r="H76" s="24"/>
    </row>
    <row r="77" spans="1:21" x14ac:dyDescent="0.2">
      <c r="A77" s="7"/>
      <c r="B77" s="111"/>
      <c r="C77" s="133" t="s">
        <v>244</v>
      </c>
      <c r="D77" s="133" t="s">
        <v>245</v>
      </c>
      <c r="E77" s="111"/>
      <c r="F77" s="133" t="s">
        <v>29</v>
      </c>
      <c r="G77" s="50"/>
      <c r="H77" s="7" t="s">
        <v>30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x14ac:dyDescent="0.2">
      <c r="A78" s="30" t="s">
        <v>27</v>
      </c>
      <c r="B78" s="30"/>
      <c r="C78" s="134" t="s">
        <v>284</v>
      </c>
      <c r="D78" s="134" t="s">
        <v>284</v>
      </c>
      <c r="E78" s="112"/>
      <c r="F78" s="134" t="s">
        <v>284</v>
      </c>
      <c r="G78" s="49"/>
      <c r="H78" s="30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x14ac:dyDescent="0.2">
      <c r="A79" t="s">
        <v>82</v>
      </c>
      <c r="D79">
        <v>2</v>
      </c>
      <c r="F79">
        <v>2</v>
      </c>
    </row>
    <row r="80" spans="1:21" x14ac:dyDescent="0.2">
      <c r="A80" t="s">
        <v>33</v>
      </c>
      <c r="D80">
        <v>2</v>
      </c>
      <c r="F80">
        <v>2</v>
      </c>
      <c r="K80" s="205"/>
    </row>
    <row r="81" spans="1:21" x14ac:dyDescent="0.2">
      <c r="A81" t="s">
        <v>53</v>
      </c>
      <c r="D81">
        <v>3</v>
      </c>
      <c r="F81">
        <v>0</v>
      </c>
      <c r="H81" t="s">
        <v>270</v>
      </c>
    </row>
    <row r="82" spans="1:21" x14ac:dyDescent="0.2">
      <c r="A82" t="s">
        <v>247</v>
      </c>
      <c r="D82">
        <v>5</v>
      </c>
      <c r="F82">
        <v>0</v>
      </c>
      <c r="J82" s="203"/>
    </row>
    <row r="83" spans="1:21" x14ac:dyDescent="0.2">
      <c r="A83" t="s">
        <v>34</v>
      </c>
      <c r="D83">
        <v>4</v>
      </c>
      <c r="F83">
        <v>0</v>
      </c>
      <c r="H83" t="s">
        <v>66</v>
      </c>
      <c r="J83" s="203"/>
    </row>
    <row r="84" spans="1:21" x14ac:dyDescent="0.2">
      <c r="A84" t="s">
        <v>88</v>
      </c>
      <c r="D84">
        <v>0</v>
      </c>
      <c r="F84">
        <v>0</v>
      </c>
      <c r="J84" s="203"/>
    </row>
    <row r="85" spans="1:21" x14ac:dyDescent="0.2">
      <c r="A85" t="s">
        <v>64</v>
      </c>
      <c r="D85">
        <v>3</v>
      </c>
      <c r="F85">
        <v>0</v>
      </c>
      <c r="H85" t="s">
        <v>277</v>
      </c>
      <c r="J85" s="203"/>
    </row>
    <row r="86" spans="1:21" x14ac:dyDescent="0.2">
      <c r="A86" t="s">
        <v>248</v>
      </c>
      <c r="C86">
        <v>7</v>
      </c>
      <c r="D86">
        <v>1</v>
      </c>
      <c r="F86">
        <v>0</v>
      </c>
      <c r="H86" s="5" t="s">
        <v>126</v>
      </c>
      <c r="I86" s="5"/>
    </row>
    <row r="87" spans="1:21" x14ac:dyDescent="0.2">
      <c r="A87" t="s">
        <v>35</v>
      </c>
      <c r="C87">
        <v>23</v>
      </c>
      <c r="D87">
        <v>2</v>
      </c>
      <c r="F87">
        <v>0</v>
      </c>
      <c r="H87" s="5"/>
    </row>
    <row r="88" spans="1:21" x14ac:dyDescent="0.2">
      <c r="A88" s="24" t="s">
        <v>127</v>
      </c>
      <c r="B88" s="24"/>
      <c r="C88" s="24"/>
      <c r="D88" s="24">
        <v>2</v>
      </c>
      <c r="E88" s="24"/>
      <c r="F88" s="24">
        <v>0</v>
      </c>
      <c r="G88" s="24"/>
      <c r="H88" s="24"/>
    </row>
    <row r="89" spans="1:21" x14ac:dyDescent="0.2">
      <c r="A89" s="5" t="s">
        <v>249</v>
      </c>
      <c r="C89">
        <f>SUM(C79:C88)</f>
        <v>30</v>
      </c>
      <c r="D89">
        <f>SUM(D79:D88)</f>
        <v>24</v>
      </c>
      <c r="F89">
        <f>SUM(F79:F88)</f>
        <v>4</v>
      </c>
    </row>
    <row r="91" spans="1:21" x14ac:dyDescent="0.2">
      <c r="A91" s="5" t="s">
        <v>250</v>
      </c>
      <c r="C91" s="9">
        <f>(0.2*C4/150+0.8*C4/150)*4/5</f>
        <v>29.333333333333332</v>
      </c>
      <c r="D91" s="9">
        <f>(0.2*C4/150+0.8*C4/150)*1/5</f>
        <v>7.333333333333333</v>
      </c>
      <c r="F91" s="14">
        <f>0.2*5500/150/3+0.8*C4/150/3</f>
        <v>12.222222222222221</v>
      </c>
      <c r="H91" s="5" t="s">
        <v>393</v>
      </c>
    </row>
    <row r="92" spans="1:21" x14ac:dyDescent="0.2">
      <c r="A92" s="5" t="s">
        <v>231</v>
      </c>
      <c r="D92">
        <v>1</v>
      </c>
    </row>
    <row r="93" spans="1:21" x14ac:dyDescent="0.2">
      <c r="A93" s="193" t="s">
        <v>128</v>
      </c>
      <c r="B93" s="194"/>
      <c r="C93" s="14">
        <f>C9/120*4/5</f>
        <v>25.666666666666664</v>
      </c>
      <c r="D93" s="14">
        <f>C9/120*1/5</f>
        <v>6.4166666666666661</v>
      </c>
      <c r="E93" s="194"/>
      <c r="F93" s="194">
        <v>0</v>
      </c>
      <c r="G93" s="194"/>
      <c r="H93" s="193" t="s">
        <v>299</v>
      </c>
    </row>
    <row r="94" spans="1:21" s="194" customFormat="1" x14ac:dyDescent="0.2">
      <c r="A94" s="60" t="s">
        <v>259</v>
      </c>
      <c r="B94" s="24"/>
      <c r="C94" s="77"/>
      <c r="D94" s="28">
        <f>Grunduppgifter!B27</f>
        <v>60</v>
      </c>
      <c r="E94" s="24"/>
      <c r="F94" s="24"/>
      <c r="G94" s="24"/>
      <c r="H94" s="29"/>
    </row>
    <row r="95" spans="1:21" x14ac:dyDescent="0.2">
      <c r="A95" s="7" t="s">
        <v>251</v>
      </c>
      <c r="B95" s="7"/>
      <c r="C95" s="45">
        <f>SUM(C89:C94)</f>
        <v>85</v>
      </c>
      <c r="D95" s="45">
        <f>SUM(D89:D94)</f>
        <v>98.75</v>
      </c>
      <c r="E95" s="7"/>
      <c r="F95" s="45">
        <f>SUM(F89:F94)</f>
        <v>16.222222222222221</v>
      </c>
      <c r="G95" s="7"/>
      <c r="H95" s="45">
        <f>SUM(B95:D95)</f>
        <v>183.75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8" spans="1:8" ht="25.5" x14ac:dyDescent="0.25">
      <c r="A98" s="53" t="s">
        <v>132</v>
      </c>
      <c r="B98" s="114"/>
      <c r="C98" s="115" t="s">
        <v>252</v>
      </c>
      <c r="D98" s="115" t="s">
        <v>253</v>
      </c>
    </row>
    <row r="99" spans="1:8" x14ac:dyDescent="0.2">
      <c r="A99" t="s">
        <v>278</v>
      </c>
      <c r="B99" s="116"/>
      <c r="C99" s="116">
        <f>(E28-E10)/C9</f>
        <v>4.4167426828807557</v>
      </c>
      <c r="D99" s="116">
        <f t="shared" ref="D99:D104" si="1">C99+$C$105*C99/($C$106-$C$105)</f>
        <v>4.8333452090109184</v>
      </c>
    </row>
    <row r="100" spans="1:8" x14ac:dyDescent="0.2">
      <c r="A100" t="s">
        <v>254</v>
      </c>
      <c r="B100" s="116"/>
      <c r="C100" s="116">
        <f>E34/C9</f>
        <v>1.0224105970323432</v>
      </c>
      <c r="D100" s="116">
        <f t="shared" si="1"/>
        <v>1.1188479192962948</v>
      </c>
    </row>
    <row r="101" spans="1:8" x14ac:dyDescent="0.2">
      <c r="A101" s="105" t="s">
        <v>258</v>
      </c>
      <c r="B101" s="116"/>
      <c r="C101" s="116">
        <f>E42/C9</f>
        <v>2.2736507936507939</v>
      </c>
      <c r="D101" s="116">
        <f t="shared" si="1"/>
        <v>2.4881094416141765</v>
      </c>
    </row>
    <row r="102" spans="1:8" x14ac:dyDescent="0.2">
      <c r="A102" t="s">
        <v>231</v>
      </c>
      <c r="B102" s="116"/>
      <c r="C102" s="116">
        <f>E49/C9</f>
        <v>0.39391355357218288</v>
      </c>
      <c r="D102" s="116">
        <f t="shared" si="1"/>
        <v>0.43106884951712238</v>
      </c>
    </row>
    <row r="103" spans="1:8" x14ac:dyDescent="0.2">
      <c r="A103" t="s">
        <v>235</v>
      </c>
      <c r="B103" s="116"/>
      <c r="C103" s="116">
        <f>E59/C9</f>
        <v>2.1135625903012771</v>
      </c>
      <c r="D103" s="116">
        <f t="shared" si="1"/>
        <v>2.3129211623246348</v>
      </c>
    </row>
    <row r="104" spans="1:8" x14ac:dyDescent="0.2">
      <c r="A104" t="s">
        <v>131</v>
      </c>
      <c r="B104" s="116"/>
      <c r="C104" s="116">
        <f>E64/C9</f>
        <v>4.8000000000000007</v>
      </c>
      <c r="D104" s="116">
        <f t="shared" si="1"/>
        <v>5.2527526888028966</v>
      </c>
    </row>
    <row r="105" spans="1:8" x14ac:dyDescent="0.2">
      <c r="A105" s="24" t="s">
        <v>241</v>
      </c>
      <c r="B105" s="117"/>
      <c r="C105" s="117">
        <f>E71/C9</f>
        <v>1.4167650531286897</v>
      </c>
      <c r="D105" s="117"/>
    </row>
    <row r="106" spans="1:8" x14ac:dyDescent="0.2">
      <c r="B106" s="113"/>
      <c r="C106" s="113">
        <f>SUM(C99:C105)</f>
        <v>16.437045270566042</v>
      </c>
      <c r="D106" s="113">
        <f>SUM(D99:D105)</f>
        <v>16.437045270566045</v>
      </c>
    </row>
    <row r="107" spans="1:8" x14ac:dyDescent="0.2">
      <c r="B107" s="116"/>
    </row>
    <row r="109" spans="1:8" x14ac:dyDescent="0.2">
      <c r="A109" s="58" t="s">
        <v>255</v>
      </c>
      <c r="B109" s="58"/>
      <c r="C109" s="118">
        <v>-0.5</v>
      </c>
      <c r="D109" s="118">
        <v>-0.25</v>
      </c>
      <c r="E109" s="58">
        <v>0</v>
      </c>
      <c r="F109" s="118">
        <v>0.25</v>
      </c>
      <c r="G109" s="118">
        <v>0.5</v>
      </c>
    </row>
    <row r="110" spans="1:8" x14ac:dyDescent="0.2">
      <c r="A110" t="s">
        <v>256</v>
      </c>
      <c r="B110" t="s">
        <v>246</v>
      </c>
      <c r="C110" s="9">
        <f>($C$95+$D$95)*(1+C109)</f>
        <v>91.875</v>
      </c>
      <c r="D110" s="9">
        <f>($C$95+$D$95)*(1+D109)</f>
        <v>137.8125</v>
      </c>
      <c r="E110" s="9">
        <f>($C$95+$D$95)*(1+E109)</f>
        <v>183.75</v>
      </c>
      <c r="F110" s="9">
        <f>($C$95+$D$95)*(1+F109)</f>
        <v>229.6875</v>
      </c>
      <c r="G110" s="9">
        <f>($C$95+$D$95)*(1+G109)</f>
        <v>275.625</v>
      </c>
    </row>
    <row r="111" spans="1:8" x14ac:dyDescent="0.2">
      <c r="A111" s="24" t="s">
        <v>116</v>
      </c>
      <c r="B111" s="24" t="s">
        <v>133</v>
      </c>
      <c r="C111" s="31">
        <f>($E$66+$E$71-$E$10+C109*($E$14+$E$15+$E$38+$E$39+$E$45+$E$52+$E$53))/$C$9</f>
        <v>12.959610205630977</v>
      </c>
      <c r="D111" s="31">
        <f>($E$66+$E$71-$E$10+D109*($E$14+$E$15+$E$38+$E$39+$E$45+$E$52+$E$53))/$C$9</f>
        <v>14.698327738098509</v>
      </c>
      <c r="E111" s="31">
        <f>($E$66+$E$71-$E$10+E109*($E$14+$E$15+$E$38+$E$39+$E$45+$E$52+$E$53))/$C$9</f>
        <v>16.437045270566042</v>
      </c>
      <c r="F111" s="31">
        <f>($E$66+$E$71-$E$10+F109*($E$14+$E$15+$E$38+$E$39+$E$45+$E$52+$E$53))/$C$9</f>
        <v>18.175762803033574</v>
      </c>
      <c r="G111" s="31">
        <f>($E$66+$E$71-$E$10+G109*($E$14+$E$15+$E$38+$E$39+$E$45+$E$52+$E$53))/$C$9</f>
        <v>19.914480335501107</v>
      </c>
      <c r="H111" s="7"/>
    </row>
    <row r="114" spans="1:9" x14ac:dyDescent="0.2">
      <c r="A114" s="30" t="s">
        <v>255</v>
      </c>
      <c r="B114" s="30"/>
      <c r="C114" s="119">
        <v>-0.5</v>
      </c>
      <c r="D114" s="119">
        <v>-0.25</v>
      </c>
      <c r="E114" s="30">
        <v>0</v>
      </c>
      <c r="F114" s="119">
        <v>0.25</v>
      </c>
      <c r="G114" s="119">
        <v>0.5</v>
      </c>
      <c r="H114" t="s">
        <v>296</v>
      </c>
    </row>
    <row r="115" spans="1:9" x14ac:dyDescent="0.2">
      <c r="A115" t="s">
        <v>4</v>
      </c>
      <c r="B115" t="s">
        <v>257</v>
      </c>
      <c r="C115" s="136">
        <f>$C$9/1000*(1+C114)</f>
        <v>1.9249999999999998</v>
      </c>
      <c r="D115" s="136">
        <f>$C$9/1000*(1+D114)</f>
        <v>2.8874999999999997</v>
      </c>
      <c r="E115" s="136">
        <f>$C$9/1000*(1+E114)</f>
        <v>3.8499999999999996</v>
      </c>
      <c r="F115" s="136">
        <f>$C$9/1000*(1+F114)</f>
        <v>4.8125</v>
      </c>
      <c r="G115" s="136">
        <f>$C$9/1000*(1+G114)</f>
        <v>5.7749999999999995</v>
      </c>
    </row>
    <row r="116" spans="1:9" x14ac:dyDescent="0.2">
      <c r="A116" t="s">
        <v>220</v>
      </c>
      <c r="B116" t="s">
        <v>202</v>
      </c>
      <c r="C116" s="13">
        <f>$E$35</f>
        <v>21440.740127665427</v>
      </c>
      <c r="D116" s="13">
        <f>$E$35</f>
        <v>21440.740127665427</v>
      </c>
      <c r="E116" s="13">
        <f>$E$35</f>
        <v>21440.740127665427</v>
      </c>
      <c r="F116" s="13">
        <f>$E$35</f>
        <v>21440.740127665427</v>
      </c>
      <c r="G116" s="13">
        <f>$E$35</f>
        <v>21440.740127665427</v>
      </c>
    </row>
    <row r="117" spans="1:9" x14ac:dyDescent="0.2">
      <c r="A117" t="s">
        <v>258</v>
      </c>
      <c r="B117" t="s">
        <v>202</v>
      </c>
      <c r="C117" s="13">
        <f>((0.2*$C$4/150+0.8*$C$4*(1+C114)/150)*4/5*Grunduppgifter!$B$26)+((0.2*$C$4/150+0.8*$C$4*(1+C114)/150)*1/5*Grunduppgifter!$B$25)+((0.2*$C$4/150/3+0.8*$C$4*(1+C114)/150/3)*Grunduppgifter!$B$30)</f>
        <v>5252.1333333333332</v>
      </c>
      <c r="D117" s="13">
        <f>((0.2*$C$4/150+0.8*$C$4*(1+D114)/150)*4/5*Grunduppgifter!$B$26)+((0.2*$C$4/150+0.8*$C$4*(1+D114)/150)*1/5*Grunduppgifter!$B$25)+((0.2*$C$4/150/3+0.8*$C$4*(1+D114)/150/3)*Grunduppgifter!$B$30)</f>
        <v>7002.8444444444431</v>
      </c>
      <c r="E117" s="13">
        <f>((0.2*$C$4/150+0.8*$C$4*(1+E114)/150)*4/5*Grunduppgifter!$B$26)+((0.2*$C$4/150+0.8*$C$4*(1+E114)/150)*1/5*Grunduppgifter!$B$25)+((0.2*$C$4/150/3+0.8*$C$4*(1+E114)/150/3)*Grunduppgifter!$B$30)</f>
        <v>8753.5555555555547</v>
      </c>
      <c r="F117" s="13">
        <f>((0.2*$C$4/150+0.8*$C$4*(1+F114)/150)*4/5*Grunduppgifter!$B$26)+((0.2*$C$4/150+0.8*$C$4*(1+F114)/150)*1/5*Grunduppgifter!$B$25)+((0.2*$C$4/150/3+0.8*$C$4*(1+F114)/150/3)*Grunduppgifter!$B$30)</f>
        <v>10504.266666666666</v>
      </c>
      <c r="G117" s="13">
        <f>((0.2*$C$4/150+0.8*$C$4*(1+G114)/150)*4/5*Grunduppgifter!$B$26)+((0.2*$C$4/150+0.8*$C$4*(1+G114)/150)*1/5*Grunduppgifter!$B$25)+((0.2*$C$4/150/3+0.8*$C$4*(1+G114)/150/3)*Grunduppgifter!$B$30)</f>
        <v>12254.977777777778</v>
      </c>
    </row>
    <row r="118" spans="1:9" x14ac:dyDescent="0.2">
      <c r="A118" t="s">
        <v>228</v>
      </c>
      <c r="B118" t="s">
        <v>202</v>
      </c>
      <c r="C118" s="13">
        <f>$E$40</f>
        <v>0</v>
      </c>
      <c r="D118" s="13">
        <f>$E$40</f>
        <v>0</v>
      </c>
      <c r="E118" s="13">
        <f>$E$40</f>
        <v>0</v>
      </c>
      <c r="F118" s="13">
        <f>$E$40</f>
        <v>0</v>
      </c>
      <c r="G118" s="13">
        <f>$E$40</f>
        <v>0</v>
      </c>
    </row>
    <row r="119" spans="1:9" x14ac:dyDescent="0.2">
      <c r="A119" t="s">
        <v>231</v>
      </c>
      <c r="B119" t="s">
        <v>202</v>
      </c>
      <c r="C119" s="13">
        <f t="shared" ref="C119:D119" si="2">$E$45+$E$46+$E$47+$E$48*(1+C114)</f>
        <v>1351.567181252904</v>
      </c>
      <c r="D119" s="13">
        <f t="shared" si="2"/>
        <v>1434.067181252904</v>
      </c>
      <c r="E119" s="13">
        <f>$E$45+$E$46+$E$47+$E$48*(1+E114)</f>
        <v>1516.567181252904</v>
      </c>
      <c r="F119" s="13">
        <f>$E$45+$E$46+$E$47+$E$48*(1+F114)</f>
        <v>1599.067181252904</v>
      </c>
      <c r="G119" s="13">
        <f>$E$45+$E$46+$E$47+$E$48*(1+G114)</f>
        <v>1681.567181252904</v>
      </c>
    </row>
    <row r="120" spans="1:9" x14ac:dyDescent="0.2">
      <c r="A120" t="s">
        <v>235</v>
      </c>
      <c r="B120" t="s">
        <v>202</v>
      </c>
      <c r="C120" s="13">
        <f t="shared" ref="C120:D120" si="3">$E$54+$E$55+$E$56+($E$52+$E$53+$E$57+$E$58)*(1+C114)</f>
        <v>4636.9243059932487</v>
      </c>
      <c r="D120" s="13">
        <f t="shared" si="3"/>
        <v>6387.0701393265826</v>
      </c>
      <c r="E120" s="13">
        <f>$E$54+$E$55+$E$56+($E$52+$E$53+$E$57+$E$58)*(1+E114)</f>
        <v>8137.2159726599157</v>
      </c>
      <c r="F120" s="13">
        <f t="shared" ref="F120:G120" si="4">$E$54+$E$55+$E$56+($E$52+$E$53+$E$57+$E$58)*(1+F114)</f>
        <v>9887.3618059932487</v>
      </c>
      <c r="G120" s="13">
        <f t="shared" si="4"/>
        <v>11637.507639326583</v>
      </c>
    </row>
    <row r="121" spans="1:9" x14ac:dyDescent="0.2">
      <c r="A121" t="s">
        <v>259</v>
      </c>
      <c r="B121" t="s">
        <v>202</v>
      </c>
      <c r="C121" s="13">
        <f t="shared" ref="C121:D121" si="5">0.2*$E$64+0.8*$E$64*(1+C114)</f>
        <v>11088</v>
      </c>
      <c r="D121" s="13">
        <f t="shared" si="5"/>
        <v>14784</v>
      </c>
      <c r="E121" s="13">
        <f>0.2*$E$64+0.8*$E$64*(1+E114)</f>
        <v>18480</v>
      </c>
      <c r="F121" s="13">
        <f t="shared" ref="F121:G121" si="6">0.2*$E$64+0.8*$E$64*(1+F114)</f>
        <v>22176</v>
      </c>
      <c r="G121" s="13">
        <f t="shared" si="6"/>
        <v>25872</v>
      </c>
      <c r="H121" s="13"/>
      <c r="I121" s="138"/>
    </row>
    <row r="122" spans="1:9" x14ac:dyDescent="0.2">
      <c r="A122" t="s">
        <v>260</v>
      </c>
      <c r="B122" t="s">
        <v>202</v>
      </c>
      <c r="C122" s="13">
        <f>SUM(C117:C121)</f>
        <v>22328.624820579484</v>
      </c>
      <c r="D122" s="13">
        <f>SUM(D117:D121)</f>
        <v>29607.981765023927</v>
      </c>
      <c r="E122" s="13">
        <f>SUM(E117:E121)</f>
        <v>36887.338709468371</v>
      </c>
      <c r="F122" s="13">
        <f>SUM(F117:F121)</f>
        <v>44166.695653912815</v>
      </c>
      <c r="G122" s="13">
        <f>SUM(G117:G121)</f>
        <v>51446.052598357266</v>
      </c>
    </row>
    <row r="123" spans="1:9" x14ac:dyDescent="0.2">
      <c r="A123" t="s">
        <v>121</v>
      </c>
      <c r="B123" t="s">
        <v>202</v>
      </c>
      <c r="C123" s="13">
        <f>$E$71</f>
        <v>5454.545454545455</v>
      </c>
      <c r="D123" s="13">
        <f>$E$71</f>
        <v>5454.545454545455</v>
      </c>
      <c r="E123" s="13">
        <f>$E$71</f>
        <v>5454.545454545455</v>
      </c>
      <c r="F123" s="13">
        <f>$E$71</f>
        <v>5454.545454545455</v>
      </c>
      <c r="G123" s="13">
        <f>$E$71</f>
        <v>5454.545454545455</v>
      </c>
    </row>
    <row r="124" spans="1:9" x14ac:dyDescent="0.2">
      <c r="A124" t="s">
        <v>261</v>
      </c>
      <c r="B124" t="s">
        <v>202</v>
      </c>
      <c r="C124" s="13">
        <f>C116+C122+C123</f>
        <v>49223.910402790367</v>
      </c>
      <c r="D124" s="13">
        <f>D116+D122+D123</f>
        <v>56503.267347234811</v>
      </c>
      <c r="E124" s="13">
        <f>E116+E122+E123</f>
        <v>63782.624291679254</v>
      </c>
      <c r="F124" s="13">
        <f>F116+F122+F123</f>
        <v>71061.981236123698</v>
      </c>
      <c r="G124" s="13">
        <f>G116+G122+G123</f>
        <v>78341.338180568142</v>
      </c>
    </row>
    <row r="125" spans="1:9" x14ac:dyDescent="0.2">
      <c r="A125" s="24" t="s">
        <v>116</v>
      </c>
      <c r="B125" s="24" t="s">
        <v>133</v>
      </c>
      <c r="C125" s="31">
        <f>(C124-$E$10)/C115/1000</f>
        <v>25.311122287163826</v>
      </c>
      <c r="D125" s="31">
        <f>(D124-$E$10)/D115/1000</f>
        <v>19.395070942765305</v>
      </c>
      <c r="E125" s="31">
        <f>(E124-$E$10)/E115/1000</f>
        <v>16.437045270566042</v>
      </c>
      <c r="F125" s="31">
        <f>(F124-$E$10)/F115/1000</f>
        <v>14.662229867246483</v>
      </c>
      <c r="G125" s="31">
        <f>(G124-$E$10)/G115/1000</f>
        <v>13.479019598366779</v>
      </c>
    </row>
    <row r="128" spans="1:9" x14ac:dyDescent="0.2">
      <c r="A128" s="172" t="s">
        <v>262</v>
      </c>
      <c r="B128" s="121"/>
      <c r="C128" s="121"/>
      <c r="D128" s="121"/>
      <c r="E128" s="121"/>
      <c r="F128" s="122"/>
      <c r="G128" s="169"/>
    </row>
    <row r="129" spans="1:7" ht="25.5" x14ac:dyDescent="0.2">
      <c r="A129" s="123"/>
      <c r="B129" s="169"/>
      <c r="C129" s="124" t="s">
        <v>263</v>
      </c>
      <c r="D129" s="124" t="s">
        <v>223</v>
      </c>
      <c r="E129" s="124" t="s">
        <v>115</v>
      </c>
      <c r="F129" s="125" t="s">
        <v>264</v>
      </c>
      <c r="G129" s="169"/>
    </row>
    <row r="130" spans="1:7" x14ac:dyDescent="0.2">
      <c r="A130" s="173" t="s">
        <v>274</v>
      </c>
      <c r="B130" s="169"/>
      <c r="C130" s="169"/>
      <c r="D130" s="169"/>
      <c r="E130" s="169"/>
      <c r="F130" s="127"/>
      <c r="G130" s="169"/>
    </row>
    <row r="131" spans="1:7" x14ac:dyDescent="0.2">
      <c r="A131" s="123" t="str">
        <f>Grunduppgifter!A36</f>
        <v xml:space="preserve">Biofer 10-3-1 </v>
      </c>
      <c r="B131" s="168" t="s">
        <v>14</v>
      </c>
      <c r="C131" s="169">
        <f>Grunduppgifter!B88</f>
        <v>60</v>
      </c>
      <c r="D131" s="169"/>
      <c r="E131" s="4">
        <f>Grunduppgifter!B36</f>
        <v>3.91</v>
      </c>
      <c r="F131" s="151">
        <f>C131*E131*(1+Grunduppgifter!$B$49)</f>
        <v>281.52000000000004</v>
      </c>
      <c r="G131" s="169"/>
    </row>
    <row r="132" spans="1:7" x14ac:dyDescent="0.2">
      <c r="A132" s="123" t="str">
        <f>Grunduppgifter!A37</f>
        <v>Biofer 9-3-4</v>
      </c>
      <c r="B132" s="168" t="s">
        <v>14</v>
      </c>
      <c r="C132" s="169">
        <f>Grunduppgifter!B89</f>
        <v>0</v>
      </c>
      <c r="D132" s="169"/>
      <c r="E132" s="4">
        <f>Grunduppgifter!B37</f>
        <v>4.16</v>
      </c>
      <c r="F132" s="151">
        <f>C132*E132*(1+Grunduppgifter!$B$49)</f>
        <v>0</v>
      </c>
      <c r="G132" s="169"/>
    </row>
    <row r="133" spans="1:7" x14ac:dyDescent="0.2">
      <c r="A133" s="123" t="str">
        <f>Grunduppgifter!A38</f>
        <v xml:space="preserve">Biofer 6-3-12 </v>
      </c>
      <c r="B133" s="168" t="s">
        <v>14</v>
      </c>
      <c r="C133" s="24">
        <f>Grunduppgifter!B90</f>
        <v>0</v>
      </c>
      <c r="D133" s="169"/>
      <c r="E133" s="31">
        <f>Grunduppgifter!B38</f>
        <v>5.1100000000000003</v>
      </c>
      <c r="F133" s="131">
        <f>C133*E133*(1+Grunduppgifter!$B$49)</f>
        <v>0</v>
      </c>
      <c r="G133" s="169"/>
    </row>
    <row r="134" spans="1:7" x14ac:dyDescent="0.2">
      <c r="A134" s="130" t="s">
        <v>279</v>
      </c>
      <c r="B134" s="169"/>
      <c r="C134" s="169">
        <f>SUM(C131:C133)</f>
        <v>60</v>
      </c>
      <c r="D134" s="169"/>
      <c r="E134" s="4">
        <f>F134/C134</f>
        <v>4.6920000000000011</v>
      </c>
      <c r="F134" s="128">
        <f>SUM(F131:F133)</f>
        <v>281.52000000000004</v>
      </c>
      <c r="G134" s="169"/>
    </row>
    <row r="135" spans="1:7" x14ac:dyDescent="0.2">
      <c r="A135" s="123"/>
      <c r="B135" s="169"/>
      <c r="C135" s="169"/>
      <c r="D135" s="169"/>
      <c r="E135" s="4"/>
      <c r="F135" s="128"/>
      <c r="G135" s="169"/>
    </row>
    <row r="136" spans="1:7" x14ac:dyDescent="0.2">
      <c r="A136" s="173" t="s">
        <v>178</v>
      </c>
      <c r="B136" s="169"/>
      <c r="C136" s="169"/>
      <c r="D136" s="169"/>
      <c r="E136" s="4"/>
      <c r="F136" s="128"/>
      <c r="G136" s="169"/>
    </row>
    <row r="137" spans="1:7" x14ac:dyDescent="0.2">
      <c r="A137" s="123" t="s">
        <v>177</v>
      </c>
      <c r="B137" s="168" t="s">
        <v>14</v>
      </c>
      <c r="C137" s="24">
        <f>Grunduppgifter!B85</f>
        <v>30</v>
      </c>
      <c r="D137" s="169"/>
      <c r="E137" s="31">
        <f>Grunduppgifter!B39</f>
        <v>4.5599999999999996</v>
      </c>
      <c r="F137" s="131">
        <f>C137*E137*(1+Grunduppgifter!$B$49)</f>
        <v>164.15999999999997</v>
      </c>
      <c r="G137" s="169"/>
    </row>
    <row r="138" spans="1:7" x14ac:dyDescent="0.2">
      <c r="A138" s="130" t="s">
        <v>280</v>
      </c>
      <c r="B138" s="169"/>
      <c r="C138" s="169">
        <f>SUM(C137)</f>
        <v>30</v>
      </c>
      <c r="D138" s="169"/>
      <c r="E138" s="4">
        <f>IF(C138=0,0,F138/C138)</f>
        <v>5.4719999999999986</v>
      </c>
      <c r="F138" s="128">
        <f>SUM(F137:F137)</f>
        <v>164.15999999999997</v>
      </c>
      <c r="G138" s="169"/>
    </row>
    <row r="139" spans="1:7" x14ac:dyDescent="0.2">
      <c r="A139" s="123"/>
      <c r="B139" s="169"/>
      <c r="C139" s="169"/>
      <c r="D139" s="169"/>
      <c r="E139" s="169"/>
      <c r="F139" s="127"/>
      <c r="G139" s="169"/>
    </row>
    <row r="140" spans="1:7" x14ac:dyDescent="0.2">
      <c r="A140" s="123"/>
      <c r="B140" s="169"/>
      <c r="C140" s="169"/>
      <c r="D140" s="169"/>
      <c r="E140" s="169"/>
      <c r="F140" s="127"/>
      <c r="G140" s="169"/>
    </row>
    <row r="141" spans="1:7" x14ac:dyDescent="0.2">
      <c r="A141" s="173" t="s">
        <v>275</v>
      </c>
      <c r="B141" s="169"/>
      <c r="C141" s="169"/>
      <c r="D141" s="169"/>
      <c r="E141" s="169"/>
      <c r="F141" s="127"/>
      <c r="G141" s="169"/>
    </row>
    <row r="142" spans="1:7" x14ac:dyDescent="0.2">
      <c r="A142" s="130"/>
      <c r="B142" s="168" t="s">
        <v>59</v>
      </c>
      <c r="C142" s="169"/>
      <c r="D142" s="169"/>
      <c r="E142" s="169"/>
      <c r="F142" s="131"/>
      <c r="G142" s="169"/>
    </row>
    <row r="143" spans="1:7" x14ac:dyDescent="0.2">
      <c r="A143" s="132" t="s">
        <v>281</v>
      </c>
      <c r="B143" s="24"/>
      <c r="C143" s="24"/>
      <c r="D143" s="24"/>
      <c r="E143" s="24"/>
      <c r="F143" s="131">
        <f>SUM(F142)</f>
        <v>0</v>
      </c>
      <c r="G143" s="169"/>
    </row>
    <row r="144" spans="1:7" x14ac:dyDescent="0.2">
      <c r="A144" s="169"/>
      <c r="B144" s="169"/>
      <c r="C144" s="169"/>
      <c r="D144" s="169"/>
      <c r="E144" s="169"/>
      <c r="F144" s="169"/>
      <c r="G144" s="169"/>
    </row>
    <row r="145" spans="1:7" x14ac:dyDescent="0.2">
      <c r="A145" s="169"/>
      <c r="B145" s="169"/>
      <c r="C145" s="169"/>
      <c r="D145" s="169"/>
      <c r="E145" s="169"/>
      <c r="F145" s="169"/>
      <c r="G145" s="169"/>
    </row>
    <row r="146" spans="1:7" x14ac:dyDescent="0.2">
      <c r="A146" s="174" t="s">
        <v>360</v>
      </c>
      <c r="B146" s="175" t="s">
        <v>354</v>
      </c>
      <c r="C146" s="175" t="s">
        <v>355</v>
      </c>
      <c r="D146" s="176" t="s">
        <v>356</v>
      </c>
      <c r="E146" s="169"/>
      <c r="F146" s="169"/>
      <c r="G146" s="169"/>
    </row>
    <row r="147" spans="1:7" x14ac:dyDescent="0.2">
      <c r="A147" s="130" t="s">
        <v>361</v>
      </c>
      <c r="B147" s="169">
        <v>1.5</v>
      </c>
      <c r="C147" s="169">
        <v>0.3</v>
      </c>
      <c r="D147" s="127">
        <v>3</v>
      </c>
      <c r="E147" s="169"/>
      <c r="F147" s="169"/>
      <c r="G147" s="169"/>
    </row>
    <row r="148" spans="1:7" x14ac:dyDescent="0.2">
      <c r="A148" s="173" t="s">
        <v>362</v>
      </c>
      <c r="B148" s="169">
        <f>$C$4*B147/1000</f>
        <v>8.25</v>
      </c>
      <c r="C148" s="169">
        <f t="shared" ref="C148:D148" si="7">$C$4*C147/1000</f>
        <v>1.65</v>
      </c>
      <c r="D148" s="127">
        <f t="shared" si="7"/>
        <v>16.5</v>
      </c>
      <c r="E148" s="169"/>
      <c r="F148" s="169"/>
      <c r="G148" s="169"/>
    </row>
    <row r="149" spans="1:7" x14ac:dyDescent="0.2">
      <c r="A149" s="173" t="s">
        <v>363</v>
      </c>
      <c r="B149" s="169"/>
      <c r="C149" s="169"/>
      <c r="D149" s="127"/>
      <c r="E149" s="169"/>
      <c r="F149" s="169"/>
      <c r="G149" s="169"/>
    </row>
    <row r="150" spans="1:7" x14ac:dyDescent="0.2">
      <c r="A150" s="123" t="str">
        <f>A18</f>
        <v>Stallgödsel</v>
      </c>
      <c r="B150" s="169">
        <f>C18*Grunduppgifter!B74</f>
        <v>2</v>
      </c>
      <c r="C150" s="169">
        <f>C18*Grunduppgifter!B75</f>
        <v>3</v>
      </c>
      <c r="D150" s="127">
        <f>C18*Grunduppgifter!B76</f>
        <v>10</v>
      </c>
      <c r="E150" s="169"/>
      <c r="F150" s="169"/>
      <c r="G150" s="169"/>
    </row>
    <row r="151" spans="1:7" x14ac:dyDescent="0.2">
      <c r="A151" s="123" t="str">
        <f>Grunduppgifter!A36</f>
        <v xml:space="preserve">Biofer 10-3-1 </v>
      </c>
      <c r="B151" s="169">
        <f>Grunduppgifter!I74*C131</f>
        <v>6.0600000000000005</v>
      </c>
      <c r="C151" s="169">
        <f>Grunduppgifter!I75*C131</f>
        <v>1.7999999999999998</v>
      </c>
      <c r="D151" s="127">
        <f>Grunduppgifter!I76*C131</f>
        <v>0.53999999999999992</v>
      </c>
      <c r="E151" s="169"/>
      <c r="F151" s="169"/>
      <c r="G151" s="169"/>
    </row>
    <row r="152" spans="1:7" x14ac:dyDescent="0.2">
      <c r="A152" s="123" t="str">
        <f>Grunduppgifter!A37</f>
        <v>Biofer 9-3-4</v>
      </c>
      <c r="B152" s="169">
        <f>Grunduppgifter!J74*C132</f>
        <v>0</v>
      </c>
      <c r="C152" s="169">
        <f>Grunduppgifter!J75*C132</f>
        <v>0</v>
      </c>
      <c r="D152" s="127">
        <f>Grunduppgifter!J76*C132</f>
        <v>0</v>
      </c>
      <c r="E152" s="169"/>
      <c r="F152" s="169"/>
      <c r="G152" s="169"/>
    </row>
    <row r="153" spans="1:7" x14ac:dyDescent="0.2">
      <c r="A153" s="123" t="str">
        <f>Grunduppgifter!A38</f>
        <v xml:space="preserve">Biofer 6-3-12 </v>
      </c>
      <c r="B153" s="169">
        <f>Grunduppgifter!K74*C133</f>
        <v>0</v>
      </c>
      <c r="C153" s="169">
        <f>Grunduppgifter!K75*C133</f>
        <v>0</v>
      </c>
      <c r="D153" s="127">
        <f>Grunduppgifter!K76*C133</f>
        <v>0</v>
      </c>
      <c r="E153" s="169"/>
      <c r="F153" s="169"/>
      <c r="G153" s="169"/>
    </row>
    <row r="154" spans="1:7" x14ac:dyDescent="0.2">
      <c r="A154" s="123" t="str">
        <f>A137</f>
        <v>Kalimagnesia 25-6</v>
      </c>
      <c r="B154" s="169"/>
      <c r="C154" s="169"/>
      <c r="D154" s="127">
        <f>Grunduppgifter!F76*C137</f>
        <v>7.5</v>
      </c>
      <c r="E154" s="169"/>
      <c r="F154" s="169"/>
      <c r="G154" s="169"/>
    </row>
    <row r="155" spans="1:7" x14ac:dyDescent="0.2">
      <c r="A155" s="123" t="s">
        <v>365</v>
      </c>
      <c r="B155" s="169">
        <f>'Gröngödsling 1'!C6*Grunduppgifter!B91</f>
        <v>2</v>
      </c>
      <c r="C155" s="169"/>
      <c r="D155" s="127"/>
      <c r="E155" s="169"/>
      <c r="F155" s="169"/>
      <c r="G155" s="169"/>
    </row>
    <row r="156" spans="1:7" x14ac:dyDescent="0.2">
      <c r="A156" s="123" t="s">
        <v>366</v>
      </c>
      <c r="B156" s="169">
        <f>SUM(B150:B155)</f>
        <v>10.06</v>
      </c>
      <c r="C156" s="169">
        <f t="shared" ref="C156:D156" si="8">SUM(C150:C155)</f>
        <v>4.8</v>
      </c>
      <c r="D156" s="127">
        <f t="shared" si="8"/>
        <v>18.04</v>
      </c>
      <c r="E156" s="169"/>
      <c r="F156" s="169"/>
      <c r="G156" s="169"/>
    </row>
    <row r="157" spans="1:7" x14ac:dyDescent="0.2">
      <c r="A157" s="177" t="s">
        <v>367</v>
      </c>
      <c r="B157" s="24">
        <f>B156-B148</f>
        <v>1.8100000000000005</v>
      </c>
      <c r="C157" s="24">
        <f t="shared" ref="C157:D157" si="9">C156-C148</f>
        <v>3.15</v>
      </c>
      <c r="D157" s="178">
        <f t="shared" si="9"/>
        <v>1.5399999999999991</v>
      </c>
      <c r="E157" s="169"/>
      <c r="F157" s="169"/>
      <c r="G157" s="169"/>
    </row>
    <row r="158" spans="1:7" x14ac:dyDescent="0.2">
      <c r="A158" s="169"/>
      <c r="B158" s="169"/>
      <c r="C158" s="169"/>
      <c r="D158" s="169"/>
      <c r="E158" s="169"/>
      <c r="F158" s="169"/>
      <c r="G158" s="169"/>
    </row>
  </sheetData>
  <mergeCells count="2">
    <mergeCell ref="K3:S3"/>
    <mergeCell ref="K6:S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3"/>
  <sheetViews>
    <sheetView zoomScaleNormal="100" workbookViewId="0">
      <selection activeCell="L49" sqref="L49"/>
    </sheetView>
  </sheetViews>
  <sheetFormatPr defaultRowHeight="12.75" x14ac:dyDescent="0.2"/>
  <cols>
    <col min="1" max="2" width="9.28515625" bestFit="1" customWidth="1"/>
    <col min="3" max="3" width="8.42578125" bestFit="1" customWidth="1"/>
    <col min="4" max="4" width="7.5703125" customWidth="1"/>
    <col min="5" max="5" width="7.140625" customWidth="1"/>
    <col min="6" max="6" width="8" bestFit="1" customWidth="1"/>
    <col min="7" max="7" width="8.7109375" bestFit="1" customWidth="1"/>
    <col min="9" max="9" width="12.28515625" bestFit="1" customWidth="1"/>
    <col min="10" max="10" width="9.28515625" bestFit="1" customWidth="1"/>
    <col min="11" max="11" width="8.5703125" bestFit="1" customWidth="1"/>
    <col min="12" max="12" width="9.85546875" style="218" bestFit="1" customWidth="1"/>
    <col min="13" max="13" width="7.140625" customWidth="1"/>
    <col min="14" max="14" width="9.7109375" customWidth="1"/>
    <col min="15" max="15" width="3.42578125" customWidth="1"/>
  </cols>
  <sheetData>
    <row r="1" spans="1:19" s="20" customFormat="1" ht="15.75" x14ac:dyDescent="0.25">
      <c r="A1" s="20" t="s">
        <v>140</v>
      </c>
      <c r="B1" s="20" t="s">
        <v>147</v>
      </c>
      <c r="E1" s="20" t="s">
        <v>77</v>
      </c>
      <c r="G1" s="20" t="s">
        <v>99</v>
      </c>
    </row>
    <row r="4" spans="1:19" s="57" customFormat="1" ht="12" x14ac:dyDescent="0.2"/>
    <row r="5" spans="1:19" s="15" customFormat="1" x14ac:dyDescent="0.2"/>
    <row r="6" spans="1:19" s="34" customFormat="1" x14ac:dyDescent="0.2"/>
    <row r="15" spans="1:19" x14ac:dyDescent="0.2">
      <c r="S15" s="9"/>
    </row>
    <row r="30" spans="1:17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7" x14ac:dyDescent="0.2">
      <c r="A31" s="54" t="s">
        <v>84</v>
      </c>
      <c r="B31" s="55" t="s">
        <v>85</v>
      </c>
      <c r="C31" s="55" t="s">
        <v>33</v>
      </c>
      <c r="D31" s="55" t="s">
        <v>53</v>
      </c>
      <c r="E31" s="55" t="s">
        <v>86</v>
      </c>
      <c r="F31" s="55" t="s">
        <v>87</v>
      </c>
      <c r="G31" s="55" t="s">
        <v>92</v>
      </c>
      <c r="H31" s="55" t="s">
        <v>95</v>
      </c>
      <c r="I31" s="56" t="s">
        <v>35</v>
      </c>
      <c r="J31" s="55" t="s">
        <v>36</v>
      </c>
      <c r="K31" s="55" t="s">
        <v>93</v>
      </c>
      <c r="L31" s="55" t="s">
        <v>259</v>
      </c>
      <c r="M31" s="55" t="s">
        <v>105</v>
      </c>
      <c r="N31" s="55" t="s">
        <v>1</v>
      </c>
      <c r="O31" s="57"/>
      <c r="P31" s="57"/>
      <c r="Q31" s="57"/>
    </row>
    <row r="32" spans="1:17" x14ac:dyDescent="0.2">
      <c r="A32" s="22"/>
      <c r="B32" s="23"/>
      <c r="C32" s="23"/>
      <c r="D32" s="23"/>
      <c r="E32" s="23"/>
      <c r="F32" s="23"/>
      <c r="G32" s="23"/>
      <c r="H32" s="23"/>
      <c r="I32" s="36"/>
      <c r="J32" s="23"/>
      <c r="K32" s="23"/>
      <c r="L32" s="23"/>
      <c r="M32" s="23"/>
      <c r="N32" s="23"/>
      <c r="O32" s="15"/>
      <c r="P32" s="15"/>
      <c r="Q32" s="15"/>
    </row>
    <row r="33" spans="1:17" x14ac:dyDescent="0.2">
      <c r="A33" s="34" t="s">
        <v>90</v>
      </c>
      <c r="B33" s="34">
        <f>'Morot 1'!D79</f>
        <v>2</v>
      </c>
      <c r="C33" s="34">
        <f>'Morot 1'!D80</f>
        <v>2</v>
      </c>
      <c r="D33" s="34">
        <f>'Morot 1'!D81</f>
        <v>3</v>
      </c>
      <c r="E33" s="34">
        <f>'Morot 1'!D82</f>
        <v>5</v>
      </c>
      <c r="F33" s="34">
        <f>'Morot 1'!D83</f>
        <v>4</v>
      </c>
      <c r="G33" s="34">
        <f>'Morot 1'!D85</f>
        <v>3</v>
      </c>
      <c r="H33" s="34">
        <f>'Morot 1'!C86+'Morot 1'!D86</f>
        <v>8</v>
      </c>
      <c r="I33" s="37">
        <f>'Morot 1'!C87+'Morot 1'!D87</f>
        <v>25</v>
      </c>
      <c r="J33" s="37">
        <f>'Morot 1'!C91+'Morot 1'!D91</f>
        <v>36.666666666666664</v>
      </c>
      <c r="K33" s="37">
        <f>'Morot 1'!C93+'Morot 1'!D93</f>
        <v>32.083333333333329</v>
      </c>
      <c r="L33" s="37">
        <f>'Morot 1'!C94+'Morot 1'!D94</f>
        <v>60</v>
      </c>
      <c r="M33" s="34">
        <f>'Morot 1'!D88+'Morot 1'!D92</f>
        <v>3</v>
      </c>
      <c r="N33" s="37">
        <f>SUM(B33:M33)</f>
        <v>183.75</v>
      </c>
      <c r="O33" s="34"/>
      <c r="P33" s="34"/>
      <c r="Q33" s="34"/>
    </row>
    <row r="34" spans="1:17" x14ac:dyDescent="0.2">
      <c r="I34" s="9"/>
      <c r="J34" s="14"/>
    </row>
    <row r="35" spans="1:17" x14ac:dyDescent="0.2">
      <c r="A35">
        <v>13</v>
      </c>
      <c r="B35">
        <v>0.4</v>
      </c>
      <c r="C35">
        <f>C33</f>
        <v>2</v>
      </c>
      <c r="I35" s="9"/>
      <c r="J35" s="14"/>
      <c r="N35" s="14">
        <f t="shared" ref="N35:N71" si="0">SUM(B35:M35)</f>
        <v>2.4</v>
      </c>
    </row>
    <row r="36" spans="1:17" x14ac:dyDescent="0.2">
      <c r="A36">
        <v>14</v>
      </c>
      <c r="B36">
        <v>0.2</v>
      </c>
      <c r="D36">
        <v>0.6</v>
      </c>
      <c r="E36">
        <f>E$33/4</f>
        <v>1.25</v>
      </c>
      <c r="J36" s="14"/>
      <c r="N36" s="14">
        <f t="shared" si="0"/>
        <v>2.0499999999999998</v>
      </c>
    </row>
    <row r="37" spans="1:17" x14ac:dyDescent="0.2">
      <c r="A37">
        <f t="shared" ref="A37:A70" si="1">A36+1</f>
        <v>15</v>
      </c>
      <c r="B37" s="218">
        <v>0.2</v>
      </c>
      <c r="G37">
        <v>0.45</v>
      </c>
      <c r="J37" s="14"/>
      <c r="N37" s="14">
        <f t="shared" si="0"/>
        <v>0.65</v>
      </c>
    </row>
    <row r="38" spans="1:17" x14ac:dyDescent="0.2">
      <c r="A38">
        <f t="shared" si="1"/>
        <v>16</v>
      </c>
      <c r="B38" s="218">
        <v>0.2</v>
      </c>
      <c r="J38" s="14"/>
      <c r="M38" s="4">
        <f t="shared" ref="M38:M67" si="2">$M$33/30</f>
        <v>0.1</v>
      </c>
      <c r="N38" s="14">
        <f t="shared" si="0"/>
        <v>0.30000000000000004</v>
      </c>
    </row>
    <row r="39" spans="1:17" x14ac:dyDescent="0.2">
      <c r="A39">
        <f t="shared" si="1"/>
        <v>17</v>
      </c>
      <c r="B39" s="218">
        <v>0.2</v>
      </c>
      <c r="D39">
        <v>0.6</v>
      </c>
      <c r="E39">
        <f>E$33/4</f>
        <v>1.25</v>
      </c>
      <c r="F39">
        <f>F$33/10</f>
        <v>0.4</v>
      </c>
      <c r="H39" s="4">
        <f>H33/24</f>
        <v>0.33333333333333331</v>
      </c>
      <c r="J39" s="14"/>
      <c r="M39" s="4">
        <f t="shared" si="2"/>
        <v>0.1</v>
      </c>
      <c r="N39" s="14">
        <f t="shared" si="0"/>
        <v>2.8833333333333333</v>
      </c>
    </row>
    <row r="40" spans="1:17" x14ac:dyDescent="0.2">
      <c r="A40">
        <f t="shared" si="1"/>
        <v>18</v>
      </c>
      <c r="B40" s="218">
        <v>0.2</v>
      </c>
      <c r="G40">
        <v>0.45</v>
      </c>
      <c r="H40" s="4"/>
      <c r="J40" s="14"/>
      <c r="M40" s="4">
        <f t="shared" si="2"/>
        <v>0.1</v>
      </c>
      <c r="N40" s="14">
        <f t="shared" si="0"/>
        <v>0.75</v>
      </c>
    </row>
    <row r="41" spans="1:17" x14ac:dyDescent="0.2">
      <c r="A41">
        <f t="shared" si="1"/>
        <v>19</v>
      </c>
      <c r="B41" s="218">
        <v>0.2</v>
      </c>
      <c r="D41">
        <v>0.9</v>
      </c>
      <c r="F41">
        <f>F$33/10</f>
        <v>0.4</v>
      </c>
      <c r="H41" s="4">
        <f>H33*2/24</f>
        <v>0.66666666666666663</v>
      </c>
      <c r="I41" s="85">
        <f>I33/10</f>
        <v>2.5</v>
      </c>
      <c r="J41" s="14"/>
      <c r="M41" s="4">
        <f t="shared" si="2"/>
        <v>0.1</v>
      </c>
      <c r="N41" s="14">
        <f t="shared" si="0"/>
        <v>4.7666666666666657</v>
      </c>
    </row>
    <row r="42" spans="1:17" x14ac:dyDescent="0.2">
      <c r="A42">
        <f t="shared" si="1"/>
        <v>20</v>
      </c>
      <c r="B42" s="218">
        <v>0.2</v>
      </c>
      <c r="G42">
        <v>1.05</v>
      </c>
      <c r="H42" s="4"/>
      <c r="I42" s="85">
        <f>I33/10</f>
        <v>2.5</v>
      </c>
      <c r="J42" s="14"/>
      <c r="M42" s="4">
        <f t="shared" si="2"/>
        <v>0.1</v>
      </c>
      <c r="N42" s="14">
        <f t="shared" si="0"/>
        <v>3.85</v>
      </c>
    </row>
    <row r="43" spans="1:17" x14ac:dyDescent="0.2">
      <c r="A43">
        <f t="shared" si="1"/>
        <v>21</v>
      </c>
      <c r="B43" s="218">
        <v>0.2</v>
      </c>
      <c r="D43">
        <v>0.9</v>
      </c>
      <c r="E43">
        <f>E$33/4</f>
        <v>1.25</v>
      </c>
      <c r="F43">
        <f>F$33/10</f>
        <v>0.4</v>
      </c>
      <c r="H43" s="4">
        <f>H33*4/24</f>
        <v>1.3333333333333333</v>
      </c>
      <c r="I43" s="85">
        <f>I33/10</f>
        <v>2.5</v>
      </c>
      <c r="J43" s="14"/>
      <c r="M43" s="4">
        <f t="shared" si="2"/>
        <v>0.1</v>
      </c>
      <c r="N43" s="14">
        <f t="shared" si="0"/>
        <v>6.6833333333333327</v>
      </c>
    </row>
    <row r="44" spans="1:17" x14ac:dyDescent="0.2">
      <c r="A44">
        <f t="shared" si="1"/>
        <v>22</v>
      </c>
      <c r="E44">
        <f>E$33/4</f>
        <v>1.25</v>
      </c>
      <c r="G44">
        <v>1.05</v>
      </c>
      <c r="H44" s="4"/>
      <c r="I44" s="85">
        <f>I33/10</f>
        <v>2.5</v>
      </c>
      <c r="J44" s="14"/>
      <c r="M44" s="4">
        <f t="shared" si="2"/>
        <v>0.1</v>
      </c>
      <c r="N44" s="14">
        <f t="shared" si="0"/>
        <v>4.8999999999999995</v>
      </c>
    </row>
    <row r="45" spans="1:17" s="7" customFormat="1" x14ac:dyDescent="0.2">
      <c r="A45">
        <f t="shared" si="1"/>
        <v>23</v>
      </c>
      <c r="B45"/>
      <c r="C45"/>
      <c r="D45"/>
      <c r="E45"/>
      <c r="F45">
        <f>F$33/10</f>
        <v>0.4</v>
      </c>
      <c r="G45">
        <v>0</v>
      </c>
      <c r="H45" s="4">
        <f>H33*6/24</f>
        <v>2</v>
      </c>
      <c r="I45" s="85">
        <f>I33/10</f>
        <v>2.5</v>
      </c>
      <c r="J45" s="14"/>
      <c r="K45"/>
      <c r="L45" s="218"/>
      <c r="M45" s="4">
        <f t="shared" si="2"/>
        <v>0.1</v>
      </c>
      <c r="N45" s="14">
        <f t="shared" si="0"/>
        <v>5</v>
      </c>
      <c r="O45"/>
      <c r="P45"/>
      <c r="Q45"/>
    </row>
    <row r="46" spans="1:17" x14ac:dyDescent="0.2">
      <c r="A46">
        <f t="shared" si="1"/>
        <v>24</v>
      </c>
      <c r="H46" s="4"/>
      <c r="I46" s="85">
        <f>I33/10</f>
        <v>2.5</v>
      </c>
      <c r="J46" s="14"/>
      <c r="M46" s="4">
        <f t="shared" si="2"/>
        <v>0.1</v>
      </c>
      <c r="N46" s="14">
        <f t="shared" si="0"/>
        <v>2.6</v>
      </c>
    </row>
    <row r="47" spans="1:17" x14ac:dyDescent="0.2">
      <c r="A47">
        <f t="shared" si="1"/>
        <v>25</v>
      </c>
      <c r="F47">
        <f>F$33/10</f>
        <v>0.4</v>
      </c>
      <c r="H47" s="4">
        <f>H33*5/24</f>
        <v>1.6666666666666667</v>
      </c>
      <c r="I47" s="85">
        <f>I33/10</f>
        <v>2.5</v>
      </c>
      <c r="J47" s="14"/>
      <c r="M47" s="4">
        <f t="shared" si="2"/>
        <v>0.1</v>
      </c>
      <c r="N47" s="14">
        <f t="shared" si="0"/>
        <v>4.6666666666666661</v>
      </c>
    </row>
    <row r="48" spans="1:17" x14ac:dyDescent="0.2">
      <c r="A48">
        <f t="shared" si="1"/>
        <v>26</v>
      </c>
      <c r="H48" s="4"/>
      <c r="I48" s="85">
        <f>I33/10</f>
        <v>2.5</v>
      </c>
      <c r="J48" s="14"/>
      <c r="M48" s="4">
        <f t="shared" si="2"/>
        <v>0.1</v>
      </c>
      <c r="N48" s="14">
        <f t="shared" si="0"/>
        <v>2.6</v>
      </c>
    </row>
    <row r="49" spans="1:17" x14ac:dyDescent="0.2">
      <c r="A49">
        <f t="shared" si="1"/>
        <v>27</v>
      </c>
      <c r="F49">
        <f>F$33/10</f>
        <v>0.4</v>
      </c>
      <c r="H49" s="4">
        <f>H33*4/24</f>
        <v>1.3333333333333333</v>
      </c>
      <c r="I49" s="85">
        <f>I33/20</f>
        <v>1.25</v>
      </c>
      <c r="J49" s="14">
        <f t="shared" ref="J49:L64" si="3">J$33/40</f>
        <v>0.91666666666666663</v>
      </c>
      <c r="K49" s="14">
        <f t="shared" si="3"/>
        <v>0.80208333333333326</v>
      </c>
      <c r="L49" s="14">
        <f t="shared" si="3"/>
        <v>1.5</v>
      </c>
      <c r="M49" s="4">
        <f t="shared" si="2"/>
        <v>0.1</v>
      </c>
      <c r="N49" s="14">
        <f t="shared" si="0"/>
        <v>6.302083333333333</v>
      </c>
    </row>
    <row r="50" spans="1:17" x14ac:dyDescent="0.2">
      <c r="A50">
        <f t="shared" si="1"/>
        <v>28</v>
      </c>
      <c r="H50" s="4"/>
      <c r="I50" s="85">
        <f>I33/20</f>
        <v>1.25</v>
      </c>
      <c r="J50" s="14">
        <f t="shared" si="3"/>
        <v>0.91666666666666663</v>
      </c>
      <c r="K50" s="14">
        <f t="shared" si="3"/>
        <v>0.80208333333333326</v>
      </c>
      <c r="L50" s="14">
        <f t="shared" si="3"/>
        <v>1.5</v>
      </c>
      <c r="M50" s="4">
        <f t="shared" si="2"/>
        <v>0.1</v>
      </c>
      <c r="N50" s="14">
        <f t="shared" si="0"/>
        <v>4.5687499999999996</v>
      </c>
    </row>
    <row r="51" spans="1:17" x14ac:dyDescent="0.2">
      <c r="A51">
        <f t="shared" si="1"/>
        <v>29</v>
      </c>
      <c r="F51">
        <f>F$33/10</f>
        <v>0.4</v>
      </c>
      <c r="H51" s="4">
        <f>H33*2/24</f>
        <v>0.66666666666666663</v>
      </c>
      <c r="I51" s="85">
        <f>I33/20</f>
        <v>1.25</v>
      </c>
      <c r="J51" s="14">
        <f t="shared" si="3"/>
        <v>0.91666666666666663</v>
      </c>
      <c r="K51" s="14">
        <f t="shared" si="3"/>
        <v>0.80208333333333326</v>
      </c>
      <c r="L51" s="14">
        <f t="shared" si="3"/>
        <v>1.5</v>
      </c>
      <c r="M51" s="4">
        <f t="shared" si="2"/>
        <v>0.1</v>
      </c>
      <c r="N51" s="14">
        <f t="shared" si="0"/>
        <v>5.6354166666666661</v>
      </c>
    </row>
    <row r="52" spans="1:17" x14ac:dyDescent="0.2">
      <c r="A52">
        <f t="shared" si="1"/>
        <v>30</v>
      </c>
      <c r="I52" s="85">
        <f>I33/40</f>
        <v>0.625</v>
      </c>
      <c r="J52" s="14">
        <f t="shared" si="3"/>
        <v>0.91666666666666663</v>
      </c>
      <c r="K52" s="14">
        <f t="shared" si="3"/>
        <v>0.80208333333333326</v>
      </c>
      <c r="L52" s="14">
        <f t="shared" si="3"/>
        <v>1.5</v>
      </c>
      <c r="M52" s="4">
        <f t="shared" si="2"/>
        <v>0.1</v>
      </c>
      <c r="N52" s="14">
        <f t="shared" si="0"/>
        <v>3.9437500000000001</v>
      </c>
      <c r="Q52" s="1"/>
    </row>
    <row r="53" spans="1:17" x14ac:dyDescent="0.2">
      <c r="A53">
        <f t="shared" si="1"/>
        <v>31</v>
      </c>
      <c r="F53">
        <f>F$33/10</f>
        <v>0.4</v>
      </c>
      <c r="I53" s="85">
        <f>I33/80</f>
        <v>0.3125</v>
      </c>
      <c r="J53" s="14">
        <f t="shared" si="3"/>
        <v>0.91666666666666663</v>
      </c>
      <c r="K53" s="14">
        <f t="shared" si="3"/>
        <v>0.80208333333333326</v>
      </c>
      <c r="L53" s="14">
        <f t="shared" si="3"/>
        <v>1.5</v>
      </c>
      <c r="M53" s="4">
        <f t="shared" si="2"/>
        <v>0.1</v>
      </c>
      <c r="N53" s="14">
        <f t="shared" si="0"/>
        <v>4.03125</v>
      </c>
    </row>
    <row r="54" spans="1:17" x14ac:dyDescent="0.2">
      <c r="A54">
        <f t="shared" si="1"/>
        <v>32</v>
      </c>
      <c r="I54" s="85">
        <f>I33/80</f>
        <v>0.3125</v>
      </c>
      <c r="J54" s="14">
        <f t="shared" si="3"/>
        <v>0.91666666666666663</v>
      </c>
      <c r="K54" s="14">
        <f t="shared" si="3"/>
        <v>0.80208333333333326</v>
      </c>
      <c r="L54" s="14">
        <f t="shared" si="3"/>
        <v>1.5</v>
      </c>
      <c r="M54" s="4">
        <f t="shared" si="2"/>
        <v>0.1</v>
      </c>
      <c r="N54" s="14">
        <f t="shared" si="0"/>
        <v>3.6312500000000001</v>
      </c>
    </row>
    <row r="55" spans="1:17" x14ac:dyDescent="0.2">
      <c r="A55">
        <f t="shared" si="1"/>
        <v>33</v>
      </c>
      <c r="F55">
        <f>F$33/10</f>
        <v>0.4</v>
      </c>
      <c r="J55" s="14">
        <f t="shared" si="3"/>
        <v>0.91666666666666663</v>
      </c>
      <c r="K55" s="14">
        <f t="shared" si="3"/>
        <v>0.80208333333333326</v>
      </c>
      <c r="L55" s="14">
        <f t="shared" si="3"/>
        <v>1.5</v>
      </c>
      <c r="M55" s="4">
        <f t="shared" si="2"/>
        <v>0.1</v>
      </c>
      <c r="N55" s="14">
        <f t="shared" si="0"/>
        <v>3.71875</v>
      </c>
    </row>
    <row r="56" spans="1:17" x14ac:dyDescent="0.2">
      <c r="A56">
        <f t="shared" si="1"/>
        <v>34</v>
      </c>
      <c r="J56" s="14">
        <f t="shared" si="3"/>
        <v>0.91666666666666663</v>
      </c>
      <c r="K56" s="14">
        <f t="shared" si="3"/>
        <v>0.80208333333333326</v>
      </c>
      <c r="L56" s="14">
        <f t="shared" si="3"/>
        <v>1.5</v>
      </c>
      <c r="M56" s="4">
        <f t="shared" si="2"/>
        <v>0.1</v>
      </c>
      <c r="N56" s="14">
        <f t="shared" si="0"/>
        <v>3.3187500000000001</v>
      </c>
    </row>
    <row r="57" spans="1:17" x14ac:dyDescent="0.2">
      <c r="A57">
        <f t="shared" si="1"/>
        <v>35</v>
      </c>
      <c r="F57">
        <f>F$33/10</f>
        <v>0.4</v>
      </c>
      <c r="J57" s="14">
        <f t="shared" si="3"/>
        <v>0.91666666666666663</v>
      </c>
      <c r="K57" s="14">
        <f t="shared" si="3"/>
        <v>0.80208333333333326</v>
      </c>
      <c r="L57" s="14">
        <f t="shared" si="3"/>
        <v>1.5</v>
      </c>
      <c r="M57" s="4">
        <f t="shared" si="2"/>
        <v>0.1</v>
      </c>
      <c r="N57" s="14">
        <f t="shared" si="0"/>
        <v>3.71875</v>
      </c>
    </row>
    <row r="58" spans="1:17" x14ac:dyDescent="0.2">
      <c r="A58">
        <f t="shared" si="1"/>
        <v>36</v>
      </c>
      <c r="J58" s="14">
        <f t="shared" si="3"/>
        <v>0.91666666666666663</v>
      </c>
      <c r="K58" s="14">
        <f t="shared" si="3"/>
        <v>0.80208333333333326</v>
      </c>
      <c r="L58" s="14">
        <f t="shared" si="3"/>
        <v>1.5</v>
      </c>
      <c r="M58" s="4">
        <f t="shared" si="2"/>
        <v>0.1</v>
      </c>
      <c r="N58" s="14">
        <f t="shared" si="0"/>
        <v>3.3187500000000001</v>
      </c>
    </row>
    <row r="59" spans="1:17" x14ac:dyDescent="0.2">
      <c r="A59">
        <f t="shared" si="1"/>
        <v>37</v>
      </c>
      <c r="J59" s="14">
        <f t="shared" si="3"/>
        <v>0.91666666666666663</v>
      </c>
      <c r="K59" s="14">
        <f t="shared" si="3"/>
        <v>0.80208333333333326</v>
      </c>
      <c r="L59" s="14">
        <f t="shared" si="3"/>
        <v>1.5</v>
      </c>
      <c r="M59" s="4">
        <f t="shared" si="2"/>
        <v>0.1</v>
      </c>
      <c r="N59" s="14">
        <f t="shared" si="0"/>
        <v>3.3187500000000001</v>
      </c>
    </row>
    <row r="60" spans="1:17" x14ac:dyDescent="0.2">
      <c r="A60">
        <f t="shared" si="1"/>
        <v>38</v>
      </c>
      <c r="J60" s="14">
        <f t="shared" si="3"/>
        <v>0.91666666666666663</v>
      </c>
      <c r="K60" s="14">
        <f t="shared" si="3"/>
        <v>0.80208333333333326</v>
      </c>
      <c r="L60" s="14">
        <f t="shared" si="3"/>
        <v>1.5</v>
      </c>
      <c r="M60" s="4">
        <f t="shared" si="2"/>
        <v>0.1</v>
      </c>
      <c r="N60" s="14">
        <f t="shared" si="0"/>
        <v>3.3187500000000001</v>
      </c>
    </row>
    <row r="61" spans="1:17" x14ac:dyDescent="0.2">
      <c r="A61">
        <f t="shared" si="1"/>
        <v>39</v>
      </c>
      <c r="J61" s="14">
        <f t="shared" si="3"/>
        <v>0.91666666666666663</v>
      </c>
      <c r="K61" s="14">
        <f t="shared" si="3"/>
        <v>0.80208333333333326</v>
      </c>
      <c r="L61" s="14">
        <f t="shared" si="3"/>
        <v>1.5</v>
      </c>
      <c r="M61" s="4">
        <f t="shared" si="2"/>
        <v>0.1</v>
      </c>
      <c r="N61" s="14">
        <f t="shared" si="0"/>
        <v>3.3187500000000001</v>
      </c>
    </row>
    <row r="62" spans="1:17" x14ac:dyDescent="0.2">
      <c r="A62">
        <f t="shared" si="1"/>
        <v>40</v>
      </c>
      <c r="J62" s="14">
        <f t="shared" si="3"/>
        <v>0.91666666666666663</v>
      </c>
      <c r="K62" s="14">
        <f t="shared" si="3"/>
        <v>0.80208333333333326</v>
      </c>
      <c r="L62" s="14">
        <f t="shared" si="3"/>
        <v>1.5</v>
      </c>
      <c r="M62" s="4">
        <f t="shared" si="2"/>
        <v>0.1</v>
      </c>
      <c r="N62" s="14">
        <f t="shared" si="0"/>
        <v>3.3187500000000001</v>
      </c>
    </row>
    <row r="63" spans="1:17" x14ac:dyDescent="0.2">
      <c r="A63">
        <f t="shared" si="1"/>
        <v>41</v>
      </c>
      <c r="J63" s="14">
        <f t="shared" si="3"/>
        <v>0.91666666666666663</v>
      </c>
      <c r="K63" s="14">
        <f t="shared" si="3"/>
        <v>0.80208333333333326</v>
      </c>
      <c r="L63" s="14">
        <f t="shared" si="3"/>
        <v>1.5</v>
      </c>
      <c r="M63" s="4">
        <f t="shared" si="2"/>
        <v>0.1</v>
      </c>
      <c r="N63" s="14">
        <f t="shared" si="0"/>
        <v>3.3187500000000001</v>
      </c>
    </row>
    <row r="64" spans="1:17" x14ac:dyDescent="0.2">
      <c r="A64">
        <f t="shared" si="1"/>
        <v>42</v>
      </c>
      <c r="J64" s="14">
        <f t="shared" si="3"/>
        <v>0.91666666666666663</v>
      </c>
      <c r="K64" s="14">
        <f t="shared" si="3"/>
        <v>0.80208333333333326</v>
      </c>
      <c r="L64" s="14">
        <f t="shared" si="3"/>
        <v>1.5</v>
      </c>
      <c r="M64" s="4">
        <f t="shared" si="2"/>
        <v>0.1</v>
      </c>
      <c r="N64" s="14">
        <f t="shared" si="0"/>
        <v>3.3187500000000001</v>
      </c>
    </row>
    <row r="65" spans="1:17" x14ac:dyDescent="0.2">
      <c r="A65">
        <f t="shared" si="1"/>
        <v>43</v>
      </c>
      <c r="J65" s="14">
        <f>J$33*6/40</f>
        <v>5.5</v>
      </c>
      <c r="K65" s="14">
        <f t="shared" ref="K65:L70" si="4">K$33/40</f>
        <v>0.80208333333333326</v>
      </c>
      <c r="L65" s="14">
        <f t="shared" si="4"/>
        <v>1.5</v>
      </c>
      <c r="M65" s="4">
        <f t="shared" si="2"/>
        <v>0.1</v>
      </c>
      <c r="N65" s="14">
        <f t="shared" si="0"/>
        <v>7.9020833333333327</v>
      </c>
    </row>
    <row r="66" spans="1:17" x14ac:dyDescent="0.2">
      <c r="A66">
        <f t="shared" si="1"/>
        <v>44</v>
      </c>
      <c r="J66" s="14">
        <f>J$33*6/40</f>
        <v>5.5</v>
      </c>
      <c r="K66" s="14">
        <f t="shared" si="4"/>
        <v>0.80208333333333326</v>
      </c>
      <c r="L66" s="14">
        <f t="shared" si="4"/>
        <v>1.5</v>
      </c>
      <c r="M66" s="4">
        <f t="shared" si="2"/>
        <v>0.1</v>
      </c>
      <c r="N66" s="14">
        <f t="shared" si="0"/>
        <v>7.9020833333333327</v>
      </c>
    </row>
    <row r="67" spans="1:17" x14ac:dyDescent="0.2">
      <c r="A67">
        <f t="shared" si="1"/>
        <v>45</v>
      </c>
      <c r="J67" s="14">
        <f>J$33*6/40</f>
        <v>5.5</v>
      </c>
      <c r="K67" s="14">
        <f t="shared" si="4"/>
        <v>0.80208333333333326</v>
      </c>
      <c r="L67" s="14">
        <f t="shared" si="4"/>
        <v>1.5</v>
      </c>
      <c r="M67" s="4">
        <f t="shared" si="2"/>
        <v>0.1</v>
      </c>
      <c r="N67" s="14">
        <f t="shared" si="0"/>
        <v>7.9020833333333327</v>
      </c>
    </row>
    <row r="68" spans="1:17" x14ac:dyDescent="0.2">
      <c r="A68">
        <f t="shared" si="1"/>
        <v>46</v>
      </c>
      <c r="J68" s="14">
        <f>J$33*6/40</f>
        <v>5.5</v>
      </c>
      <c r="K68" s="14">
        <f t="shared" si="4"/>
        <v>0.80208333333333326</v>
      </c>
      <c r="L68" s="14">
        <f t="shared" si="4"/>
        <v>1.5</v>
      </c>
      <c r="N68" s="14">
        <f t="shared" si="0"/>
        <v>7.802083333333333</v>
      </c>
    </row>
    <row r="69" spans="1:17" x14ac:dyDescent="0.2">
      <c r="A69">
        <f t="shared" si="1"/>
        <v>47</v>
      </c>
      <c r="J69" s="14"/>
      <c r="K69" s="14">
        <f t="shared" si="4"/>
        <v>0.80208333333333326</v>
      </c>
      <c r="L69" s="14">
        <f t="shared" si="4"/>
        <v>1.5</v>
      </c>
      <c r="N69" s="14">
        <f t="shared" si="0"/>
        <v>2.302083333333333</v>
      </c>
    </row>
    <row r="70" spans="1:17" x14ac:dyDescent="0.2">
      <c r="A70">
        <f t="shared" si="1"/>
        <v>48</v>
      </c>
      <c r="J70" s="14"/>
      <c r="K70" s="14">
        <f t="shared" si="4"/>
        <v>0.80208333333333326</v>
      </c>
      <c r="L70" s="14">
        <f t="shared" si="4"/>
        <v>1.5</v>
      </c>
      <c r="N70" s="14">
        <f t="shared" si="0"/>
        <v>2.302083333333333</v>
      </c>
    </row>
    <row r="71" spans="1:17" x14ac:dyDescent="0.2">
      <c r="A71" s="25" t="s">
        <v>94</v>
      </c>
      <c r="B71" s="24"/>
      <c r="C71" s="24"/>
      <c r="D71" s="24"/>
      <c r="E71" s="24"/>
      <c r="F71" s="24"/>
      <c r="G71" s="24"/>
      <c r="H71" s="24"/>
      <c r="I71" s="24"/>
      <c r="J71" s="77"/>
      <c r="K71" s="77">
        <f>K$33*18/40</f>
        <v>14.437499999999996</v>
      </c>
      <c r="L71" s="77">
        <f>L$33*18/40</f>
        <v>27</v>
      </c>
      <c r="M71" s="24"/>
      <c r="N71" s="77">
        <f t="shared" si="0"/>
        <v>41.4375</v>
      </c>
    </row>
    <row r="72" spans="1:17" x14ac:dyDescent="0.2">
      <c r="A72" s="7" t="s">
        <v>1</v>
      </c>
      <c r="B72" s="7">
        <f t="shared" ref="B72:J72" si="5">SUM(B35:B70)</f>
        <v>1.9999999999999998</v>
      </c>
      <c r="C72" s="7">
        <f t="shared" si="5"/>
        <v>2</v>
      </c>
      <c r="D72" s="7">
        <f t="shared" si="5"/>
        <v>3</v>
      </c>
      <c r="E72" s="7">
        <f t="shared" si="5"/>
        <v>5</v>
      </c>
      <c r="F72" s="7">
        <f t="shared" si="5"/>
        <v>3.9999999999999996</v>
      </c>
      <c r="G72" s="7">
        <f t="shared" si="5"/>
        <v>3</v>
      </c>
      <c r="H72" s="7">
        <f t="shared" si="5"/>
        <v>8</v>
      </c>
      <c r="I72" s="7">
        <f t="shared" si="5"/>
        <v>25</v>
      </c>
      <c r="J72" s="33">
        <f t="shared" si="5"/>
        <v>36.666666666666664</v>
      </c>
      <c r="K72" s="7">
        <f>SUM(K35:K71)</f>
        <v>32.083333333333329</v>
      </c>
      <c r="L72" s="217">
        <f>SUM(L35:L71)</f>
        <v>60</v>
      </c>
      <c r="M72" s="7">
        <f>SUM(M35:M70)</f>
        <v>3.0000000000000013</v>
      </c>
      <c r="N72" s="45">
        <f>SUM(B72:M72)</f>
        <v>183.75</v>
      </c>
      <c r="O72" s="7"/>
      <c r="P72" s="7"/>
      <c r="Q72" s="7"/>
    </row>
    <row r="73" spans="1:17" x14ac:dyDescent="0.2">
      <c r="N73" t="s">
        <v>125</v>
      </c>
    </row>
  </sheetData>
  <phoneticPr fontId="0" type="noConversion"/>
  <pageMargins left="0.75" right="0.2" top="0.86" bottom="0.65" header="0.5" footer="0.5"/>
  <pageSetup paperSize="9" scale="77" orientation="portrait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57"/>
  <sheetViews>
    <sheetView zoomScale="75" zoomScaleNormal="75" workbookViewId="0">
      <selection activeCell="B63" sqref="B63"/>
    </sheetView>
  </sheetViews>
  <sheetFormatPr defaultRowHeight="12.75" x14ac:dyDescent="0.2"/>
  <cols>
    <col min="1" max="1" width="35.42578125" customWidth="1"/>
    <col min="3" max="4" width="12" bestFit="1" customWidth="1"/>
    <col min="6" max="6" width="12" bestFit="1" customWidth="1"/>
  </cols>
  <sheetData>
    <row r="1" spans="1:21" ht="15.75" x14ac:dyDescent="0.25">
      <c r="A1" s="20" t="s">
        <v>219</v>
      </c>
      <c r="B1" s="20" t="s">
        <v>149</v>
      </c>
      <c r="C1" s="20"/>
      <c r="E1" s="21" t="s">
        <v>150</v>
      </c>
      <c r="F1" s="20"/>
      <c r="G1" s="20"/>
      <c r="H1" s="21"/>
      <c r="I1" s="21"/>
      <c r="J1" s="20" t="s">
        <v>114</v>
      </c>
      <c r="K1" s="20"/>
      <c r="L1" s="21"/>
      <c r="M1" s="21"/>
      <c r="N1" s="21"/>
      <c r="O1" s="21"/>
      <c r="P1" s="21"/>
      <c r="Q1" s="21"/>
      <c r="R1" s="21"/>
      <c r="S1" s="21"/>
      <c r="T1" s="21"/>
      <c r="U1" s="21"/>
    </row>
    <row r="3" spans="1:21" x14ac:dyDescent="0.2">
      <c r="A3" s="62" t="s">
        <v>104</v>
      </c>
      <c r="C3" s="13">
        <v>1000</v>
      </c>
      <c r="D3" s="5" t="s">
        <v>283</v>
      </c>
      <c r="K3" s="222"/>
      <c r="L3" s="222"/>
      <c r="M3" s="222"/>
      <c r="N3" s="222"/>
      <c r="O3" s="222"/>
      <c r="P3" s="222"/>
      <c r="Q3" s="222"/>
      <c r="R3" s="222"/>
      <c r="S3" s="222"/>
    </row>
    <row r="4" spans="1:21" x14ac:dyDescent="0.2">
      <c r="A4" s="62" t="s">
        <v>4</v>
      </c>
      <c r="C4" s="13">
        <f>Grunduppgifter!C7</f>
        <v>7500</v>
      </c>
      <c r="D4" s="5" t="s">
        <v>288</v>
      </c>
    </row>
    <row r="5" spans="1:21" x14ac:dyDescent="0.2">
      <c r="A5" s="62" t="s">
        <v>96</v>
      </c>
      <c r="C5" s="2">
        <f>Grunduppgifter!D7</f>
        <v>0.95</v>
      </c>
    </row>
    <row r="6" spans="1:21" x14ac:dyDescent="0.2">
      <c r="B6" s="5"/>
      <c r="C6" s="3"/>
      <c r="K6" s="223"/>
      <c r="L6" s="224"/>
      <c r="M6" s="224"/>
      <c r="N6" s="224"/>
      <c r="O6" s="224"/>
      <c r="P6" s="224"/>
      <c r="Q6" s="224"/>
      <c r="R6" s="224"/>
      <c r="S6" s="224"/>
    </row>
    <row r="7" spans="1:21" x14ac:dyDescent="0.2">
      <c r="A7" s="24"/>
      <c r="B7" s="30" t="s">
        <v>122</v>
      </c>
      <c r="C7" s="49" t="s">
        <v>6</v>
      </c>
      <c r="D7" s="49" t="s">
        <v>115</v>
      </c>
      <c r="E7" s="49" t="s">
        <v>7</v>
      </c>
      <c r="F7" s="24"/>
      <c r="G7" s="24"/>
      <c r="H7" s="30" t="s">
        <v>124</v>
      </c>
      <c r="I7" s="7"/>
      <c r="J7" s="3"/>
    </row>
    <row r="8" spans="1:21" x14ac:dyDescent="0.2">
      <c r="A8" s="7" t="s">
        <v>5</v>
      </c>
      <c r="B8" s="3"/>
      <c r="C8" s="10"/>
      <c r="D8" s="10"/>
      <c r="E8" s="10"/>
      <c r="H8" s="3"/>
      <c r="I8" s="3"/>
      <c r="J8" s="3"/>
    </row>
    <row r="9" spans="1:21" x14ac:dyDescent="0.2">
      <c r="A9" t="s">
        <v>265</v>
      </c>
      <c r="B9" s="5" t="s">
        <v>293</v>
      </c>
      <c r="C9" s="39">
        <f>C4*C5</f>
        <v>7125</v>
      </c>
      <c r="D9" s="106">
        <f>(E66+E71-E10)/C9</f>
        <v>13.476330641619294</v>
      </c>
      <c r="E9" s="13">
        <f>C9*D9</f>
        <v>96018.855821537465</v>
      </c>
      <c r="H9" s="192" t="s">
        <v>116</v>
      </c>
      <c r="J9" s="12"/>
    </row>
    <row r="10" spans="1:21" x14ac:dyDescent="0.2">
      <c r="A10" s="24" t="s">
        <v>61</v>
      </c>
      <c r="B10" s="24"/>
      <c r="C10" s="24">
        <v>0.1</v>
      </c>
      <c r="D10" s="35">
        <f>Grunduppgifter!B61</f>
        <v>5000</v>
      </c>
      <c r="E10" s="26">
        <f>C10*D10</f>
        <v>500</v>
      </c>
      <c r="F10" s="24"/>
      <c r="G10" s="24"/>
      <c r="H10" s="24"/>
      <c r="J10" s="12"/>
    </row>
    <row r="11" spans="1:21" x14ac:dyDescent="0.2">
      <c r="A11" s="7" t="s">
        <v>118</v>
      </c>
      <c r="B11" s="7"/>
      <c r="C11" s="7"/>
      <c r="D11" s="44"/>
      <c r="E11" s="39">
        <f>SUM(E9:E10)</f>
        <v>96518.855821537465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T11" s="7"/>
      <c r="U11" s="7"/>
    </row>
    <row r="12" spans="1:21" x14ac:dyDescent="0.2">
      <c r="D12" s="4"/>
      <c r="E12" s="9"/>
    </row>
    <row r="13" spans="1:21" x14ac:dyDescent="0.2">
      <c r="A13" s="7" t="s">
        <v>220</v>
      </c>
      <c r="D13" s="4"/>
      <c r="E13" s="9"/>
    </row>
    <row r="14" spans="1:21" x14ac:dyDescent="0.2">
      <c r="A14" s="5" t="s">
        <v>221</v>
      </c>
      <c r="B14" t="s">
        <v>11</v>
      </c>
      <c r="C14">
        <f>D89</f>
        <v>24</v>
      </c>
      <c r="D14" s="9">
        <f>Grunduppgifter!B25</f>
        <v>283</v>
      </c>
      <c r="E14" s="13">
        <f t="shared" ref="E14:E33" si="0">C14*D14</f>
        <v>6792</v>
      </c>
      <c r="H14" t="s">
        <v>272</v>
      </c>
      <c r="O14" s="4"/>
      <c r="P14" s="4"/>
    </row>
    <row r="15" spans="1:21" x14ac:dyDescent="0.2">
      <c r="A15" s="5" t="s">
        <v>222</v>
      </c>
      <c r="B15" t="s">
        <v>11</v>
      </c>
      <c r="C15">
        <f>C89</f>
        <v>30</v>
      </c>
      <c r="D15" s="9">
        <f>Grunduppgifter!B26</f>
        <v>186</v>
      </c>
      <c r="E15" s="13">
        <f t="shared" si="0"/>
        <v>5580</v>
      </c>
      <c r="H15" t="s">
        <v>272</v>
      </c>
    </row>
    <row r="16" spans="1:21" x14ac:dyDescent="0.2">
      <c r="A16" s="181" t="s">
        <v>389</v>
      </c>
      <c r="B16" t="s">
        <v>266</v>
      </c>
      <c r="C16" s="107">
        <v>1.5</v>
      </c>
      <c r="D16" s="13">
        <v>1100</v>
      </c>
      <c r="E16" s="13">
        <f t="shared" si="0"/>
        <v>1650</v>
      </c>
      <c r="J16" s="4"/>
      <c r="M16" s="13"/>
      <c r="N16" s="13"/>
      <c r="O16" s="13"/>
      <c r="P16" s="13"/>
      <c r="Q16" s="13"/>
    </row>
    <row r="17" spans="1:17" x14ac:dyDescent="0.2">
      <c r="A17" s="150" t="str">
        <f>Grunduppgifter!A33</f>
        <v>Fiberduk</v>
      </c>
      <c r="B17" t="s">
        <v>283</v>
      </c>
      <c r="C17" s="96">
        <v>600</v>
      </c>
      <c r="D17" s="4">
        <f>Grunduppgifter!B33</f>
        <v>1.2</v>
      </c>
      <c r="E17" s="13">
        <f t="shared" si="0"/>
        <v>720</v>
      </c>
      <c r="H17" t="s">
        <v>405</v>
      </c>
      <c r="M17" s="13"/>
      <c r="N17" s="13"/>
      <c r="O17" s="13"/>
      <c r="P17" s="13"/>
      <c r="Q17" s="13"/>
    </row>
    <row r="18" spans="1:17" x14ac:dyDescent="0.2">
      <c r="A18" s="150" t="str">
        <f>Grunduppgifter!A35</f>
        <v>Stallgödsel</v>
      </c>
      <c r="B18" t="s">
        <v>14</v>
      </c>
      <c r="C18" s="13">
        <f>Grunduppgifter!C81</f>
        <v>2000</v>
      </c>
      <c r="D18" s="4">
        <f>Grunduppgifter!B35</f>
        <v>0.2</v>
      </c>
      <c r="E18" s="13">
        <f t="shared" si="0"/>
        <v>400</v>
      </c>
    </row>
    <row r="19" spans="1:17" x14ac:dyDescent="0.2">
      <c r="A19" t="s">
        <v>67</v>
      </c>
      <c r="C19">
        <v>1</v>
      </c>
      <c r="D19" s="13">
        <f>Grunduppgifter!B63</f>
        <v>1025.9546363636364</v>
      </c>
      <c r="E19" s="13">
        <f t="shared" si="0"/>
        <v>1025.9546363636364</v>
      </c>
      <c r="H19" t="s">
        <v>273</v>
      </c>
    </row>
    <row r="20" spans="1:17" x14ac:dyDescent="0.2">
      <c r="A20" t="s">
        <v>274</v>
      </c>
      <c r="C20" s="169">
        <f>C134</f>
        <v>20</v>
      </c>
      <c r="D20" s="4">
        <f>E134</f>
        <v>4.6920000000000002</v>
      </c>
      <c r="E20" s="13">
        <f t="shared" si="0"/>
        <v>93.84</v>
      </c>
    </row>
    <row r="21" spans="1:17" x14ac:dyDescent="0.2">
      <c r="A21" s="5" t="s">
        <v>178</v>
      </c>
      <c r="C21" s="169">
        <f>C138</f>
        <v>10</v>
      </c>
      <c r="D21" s="4">
        <f>E138</f>
        <v>5.4719999999999995</v>
      </c>
      <c r="E21" s="13">
        <f t="shared" si="0"/>
        <v>54.72</v>
      </c>
    </row>
    <row r="22" spans="1:17" x14ac:dyDescent="0.2">
      <c r="A22" s="5" t="s">
        <v>275</v>
      </c>
      <c r="C22" s="169">
        <v>1</v>
      </c>
      <c r="D22" s="4">
        <f>F141</f>
        <v>0</v>
      </c>
      <c r="E22" s="13">
        <f t="shared" si="0"/>
        <v>0</v>
      </c>
    </row>
    <row r="23" spans="1:17" x14ac:dyDescent="0.2">
      <c r="A23" t="s">
        <v>119</v>
      </c>
      <c r="B23" t="s">
        <v>11</v>
      </c>
      <c r="C23">
        <f>SUM(F79:F88)</f>
        <v>4</v>
      </c>
      <c r="D23" s="4">
        <f>Grunduppgifter!B30</f>
        <v>100</v>
      </c>
      <c r="E23" s="13">
        <f t="shared" si="0"/>
        <v>400</v>
      </c>
    </row>
    <row r="24" spans="1:17" x14ac:dyDescent="0.2">
      <c r="A24" t="s">
        <v>15</v>
      </c>
      <c r="B24" t="s">
        <v>16</v>
      </c>
      <c r="C24" s="107">
        <v>60</v>
      </c>
      <c r="D24" s="4">
        <f>Grunduppgifter!B31</f>
        <v>0.96</v>
      </c>
      <c r="E24" s="13">
        <f t="shared" si="0"/>
        <v>57.599999999999994</v>
      </c>
    </row>
    <row r="25" spans="1:17" x14ac:dyDescent="0.2">
      <c r="A25" t="s">
        <v>100</v>
      </c>
      <c r="B25" t="s">
        <v>14</v>
      </c>
      <c r="C25" s="107">
        <v>2</v>
      </c>
      <c r="D25" s="4">
        <f>Grunduppgifter!B32</f>
        <v>25</v>
      </c>
      <c r="E25" s="13">
        <f t="shared" si="0"/>
        <v>50</v>
      </c>
    </row>
    <row r="26" spans="1:17" x14ac:dyDescent="0.2">
      <c r="A26" s="149" t="str">
        <f>Grunduppgifter!A46</f>
        <v>Analyser</v>
      </c>
      <c r="B26" t="s">
        <v>12</v>
      </c>
      <c r="C26" s="107">
        <v>0.1</v>
      </c>
      <c r="D26" s="4">
        <f>Grunduppgifter!B46</f>
        <v>400</v>
      </c>
      <c r="E26" s="13">
        <f t="shared" si="0"/>
        <v>40</v>
      </c>
    </row>
    <row r="27" spans="1:17" x14ac:dyDescent="0.2">
      <c r="A27" s="29" t="str">
        <f>Grunduppgifter!A69</f>
        <v>Ränta rörelsekapital</v>
      </c>
      <c r="B27" s="24" t="s">
        <v>20</v>
      </c>
      <c r="C27" s="26">
        <f>SUM(E14:E26)</f>
        <v>16864.114636363636</v>
      </c>
      <c r="D27" s="108">
        <f>Grunduppgifter!B69</f>
        <v>0.02</v>
      </c>
      <c r="E27" s="26">
        <f t="shared" si="0"/>
        <v>337.2822927272727</v>
      </c>
      <c r="F27" s="24"/>
      <c r="G27" s="24"/>
      <c r="H27" s="24"/>
    </row>
    <row r="28" spans="1:17" x14ac:dyDescent="0.2">
      <c r="A28" s="7" t="s">
        <v>224</v>
      </c>
      <c r="D28" s="4"/>
      <c r="E28" s="39">
        <f>SUM(E14:E27)</f>
        <v>17201.396929090908</v>
      </c>
    </row>
    <row r="29" spans="1:17" x14ac:dyDescent="0.2">
      <c r="A29" s="7"/>
      <c r="D29" s="4"/>
      <c r="E29" s="39"/>
    </row>
    <row r="30" spans="1:17" x14ac:dyDescent="0.2">
      <c r="A30" s="5" t="s">
        <v>276</v>
      </c>
      <c r="C30">
        <v>0.1</v>
      </c>
      <c r="D30" s="13">
        <f>'Maskiner 1'!F32</f>
        <v>24747.136173216168</v>
      </c>
      <c r="E30" s="13">
        <f t="shared" si="0"/>
        <v>2474.7136173216168</v>
      </c>
    </row>
    <row r="31" spans="1:17" x14ac:dyDescent="0.2">
      <c r="A31" s="5" t="s">
        <v>225</v>
      </c>
      <c r="C31">
        <v>0.1</v>
      </c>
      <c r="D31" s="13">
        <f>'Maskiner 1'!K30/2</f>
        <v>7115.6718125290399</v>
      </c>
      <c r="E31" s="13">
        <f t="shared" si="0"/>
        <v>711.56718125290399</v>
      </c>
    </row>
    <row r="32" spans="1:17" x14ac:dyDescent="0.2">
      <c r="A32" t="s">
        <v>25</v>
      </c>
      <c r="C32">
        <v>0.1</v>
      </c>
      <c r="D32" s="13">
        <f>Grunduppgifter!B60</f>
        <v>6000</v>
      </c>
      <c r="E32" s="13">
        <f t="shared" si="0"/>
        <v>600</v>
      </c>
    </row>
    <row r="33" spans="1:21" x14ac:dyDescent="0.2">
      <c r="A33" s="29" t="s">
        <v>399</v>
      </c>
      <c r="B33" s="24"/>
      <c r="C33" s="31">
        <f>0.1/Grunduppgifter!B20</f>
        <v>3.3333333333333333E-2</v>
      </c>
      <c r="D33" s="26">
        <f>Grunduppgifter!B64</f>
        <v>4500</v>
      </c>
      <c r="E33" s="26">
        <f t="shared" si="0"/>
        <v>150</v>
      </c>
      <c r="F33" s="24"/>
      <c r="G33" s="24"/>
      <c r="H33" s="24"/>
    </row>
    <row r="34" spans="1:21" x14ac:dyDescent="0.2">
      <c r="A34" s="7" t="s">
        <v>226</v>
      </c>
      <c r="D34" s="4"/>
      <c r="E34" s="13">
        <f>SUM(E30:E33)</f>
        <v>3936.2807985745208</v>
      </c>
    </row>
    <row r="35" spans="1:21" x14ac:dyDescent="0.2">
      <c r="A35" s="7" t="s">
        <v>227</v>
      </c>
      <c r="D35" s="4"/>
      <c r="E35" s="39">
        <f>SUM(E28:E33)</f>
        <v>21137.677727665428</v>
      </c>
    </row>
    <row r="36" spans="1:21" x14ac:dyDescent="0.2">
      <c r="A36" s="7"/>
      <c r="D36" s="4"/>
      <c r="E36" s="13"/>
    </row>
    <row r="37" spans="1:21" x14ac:dyDescent="0.2">
      <c r="A37" s="7" t="s">
        <v>36</v>
      </c>
      <c r="D37" s="4"/>
      <c r="E37" s="13"/>
    </row>
    <row r="38" spans="1:21" x14ac:dyDescent="0.2">
      <c r="A38" s="5" t="s">
        <v>221</v>
      </c>
      <c r="B38" t="s">
        <v>11</v>
      </c>
      <c r="C38" s="9">
        <f>D91</f>
        <v>25</v>
      </c>
      <c r="D38" s="9">
        <f>Grunduppgifter!B25</f>
        <v>283</v>
      </c>
      <c r="E38" s="13">
        <f>C38*D38</f>
        <v>7075</v>
      </c>
      <c r="H38" t="s">
        <v>272</v>
      </c>
    </row>
    <row r="39" spans="1:21" x14ac:dyDescent="0.2">
      <c r="A39" s="5" t="s">
        <v>222</v>
      </c>
      <c r="B39" t="s">
        <v>11</v>
      </c>
      <c r="C39" s="9">
        <f>C91</f>
        <v>225</v>
      </c>
      <c r="D39" s="9">
        <f>Grunduppgifter!B26</f>
        <v>186</v>
      </c>
      <c r="E39" s="13">
        <f>C39*D39</f>
        <v>41850</v>
      </c>
    </row>
    <row r="40" spans="1:21" x14ac:dyDescent="0.2">
      <c r="A40" t="s">
        <v>228</v>
      </c>
      <c r="C40">
        <v>0.1</v>
      </c>
      <c r="D40" s="13"/>
      <c r="E40" s="13">
        <f>C40*D40</f>
        <v>0</v>
      </c>
    </row>
    <row r="41" spans="1:21" x14ac:dyDescent="0.2">
      <c r="A41" s="29" t="s">
        <v>229</v>
      </c>
      <c r="B41" s="24" t="s">
        <v>11</v>
      </c>
      <c r="C41" s="26">
        <f>SUM(F91:F93)</f>
        <v>6.25</v>
      </c>
      <c r="D41" s="26">
        <f>Grunduppgifter!B30</f>
        <v>100</v>
      </c>
      <c r="E41" s="26">
        <f>C41*D41</f>
        <v>625</v>
      </c>
      <c r="F41" s="24"/>
      <c r="G41" s="24"/>
      <c r="H41" s="24"/>
    </row>
    <row r="42" spans="1:21" x14ac:dyDescent="0.2">
      <c r="A42" s="7" t="s">
        <v>230</v>
      </c>
      <c r="B42" s="7"/>
      <c r="C42" s="7"/>
      <c r="D42" s="7"/>
      <c r="E42" s="39">
        <f>SUM(E38:E41)</f>
        <v>49550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T42" s="7"/>
      <c r="U42" s="7"/>
    </row>
    <row r="43" spans="1:21" x14ac:dyDescent="0.2">
      <c r="A43" s="7"/>
      <c r="B43" s="7"/>
      <c r="C43" s="7"/>
      <c r="D43" s="7"/>
      <c r="E43" s="39"/>
      <c r="F43" s="7"/>
      <c r="G43" s="7"/>
      <c r="H43" s="7"/>
      <c r="I43" s="7"/>
      <c r="J43" s="7"/>
      <c r="M43" s="4"/>
      <c r="N43" s="4"/>
      <c r="O43" s="4"/>
      <c r="P43" s="4"/>
      <c r="Q43" s="4"/>
      <c r="R43" s="7"/>
      <c r="T43" s="7"/>
      <c r="U43" s="7"/>
    </row>
    <row r="44" spans="1:21" x14ac:dyDescent="0.2">
      <c r="A44" s="7" t="s">
        <v>231</v>
      </c>
      <c r="B44" s="7"/>
      <c r="C44" s="7"/>
      <c r="D44" s="7"/>
      <c r="E44" s="39"/>
      <c r="F44" s="7"/>
      <c r="G44" s="7"/>
      <c r="H44" s="7">
        <v>2</v>
      </c>
      <c r="I44" s="7"/>
      <c r="J44" s="7"/>
      <c r="M44" s="4"/>
      <c r="N44" s="4"/>
      <c r="O44" s="4"/>
      <c r="P44" s="4"/>
      <c r="Q44" s="4"/>
      <c r="R44" s="7"/>
      <c r="T44" s="7"/>
      <c r="U44" s="7"/>
    </row>
    <row r="45" spans="1:21" x14ac:dyDescent="0.2">
      <c r="A45" s="5" t="s">
        <v>232</v>
      </c>
      <c r="B45" t="s">
        <v>11</v>
      </c>
      <c r="C45">
        <f>D92</f>
        <v>0</v>
      </c>
      <c r="D45" s="9">
        <f>Grunduppgifter!B25</f>
        <v>283</v>
      </c>
      <c r="E45" s="13">
        <f>C45*D45</f>
        <v>0</v>
      </c>
      <c r="I45" s="7"/>
      <c r="J45" s="7"/>
      <c r="M45" s="4"/>
      <c r="N45" s="4"/>
      <c r="O45" s="4"/>
      <c r="P45" s="4"/>
      <c r="Q45" s="4"/>
      <c r="R45" s="7"/>
      <c r="T45" s="7"/>
      <c r="U45" s="7"/>
    </row>
    <row r="46" spans="1:21" x14ac:dyDescent="0.2">
      <c r="A46" s="5" t="s">
        <v>58</v>
      </c>
      <c r="B46" t="s">
        <v>16</v>
      </c>
      <c r="C46" s="96">
        <v>0</v>
      </c>
      <c r="D46" s="4">
        <f>Grunduppgifter!B31</f>
        <v>0.96</v>
      </c>
      <c r="E46" s="13">
        <f>D46*C46</f>
        <v>0</v>
      </c>
      <c r="I46" s="7"/>
      <c r="J46" s="7"/>
      <c r="M46" s="4"/>
      <c r="N46" s="4"/>
      <c r="O46" s="4"/>
      <c r="P46" s="4"/>
      <c r="Q46" s="4"/>
      <c r="R46" s="7"/>
      <c r="T46" s="7"/>
      <c r="U46" s="7"/>
    </row>
    <row r="47" spans="1:21" x14ac:dyDescent="0.2">
      <c r="A47" t="s">
        <v>233</v>
      </c>
      <c r="C47" s="136">
        <v>0</v>
      </c>
      <c r="D47" s="13">
        <f>'Maskiner 1'!K30/2</f>
        <v>7115.6718125290399</v>
      </c>
      <c r="E47" s="13">
        <f>D47*C47</f>
        <v>0</v>
      </c>
      <c r="I47" s="7"/>
      <c r="J47" s="7"/>
      <c r="M47" s="4"/>
      <c r="N47" s="4"/>
      <c r="O47" s="4"/>
      <c r="P47" s="4"/>
      <c r="Q47" s="4"/>
      <c r="R47" s="7"/>
      <c r="T47" s="7"/>
      <c r="U47" s="7"/>
    </row>
    <row r="48" spans="1:21" x14ac:dyDescent="0.2">
      <c r="A48" s="24" t="str">
        <f>Grunduppgifter!A47</f>
        <v>Lagerlådor</v>
      </c>
      <c r="B48" s="27" t="s">
        <v>14</v>
      </c>
      <c r="C48" s="26">
        <v>0</v>
      </c>
      <c r="D48" s="31">
        <f>Grunduppgifter!B47</f>
        <v>0.12</v>
      </c>
      <c r="E48" s="26">
        <f>D48*C48</f>
        <v>0</v>
      </c>
      <c r="F48" s="24"/>
      <c r="G48" s="24"/>
      <c r="H48" s="24"/>
      <c r="I48" s="7"/>
      <c r="J48" s="7"/>
      <c r="M48" s="4"/>
      <c r="N48" s="4"/>
      <c r="O48" s="4"/>
      <c r="P48" s="4"/>
      <c r="Q48" s="4"/>
      <c r="R48" s="7"/>
      <c r="T48" s="7"/>
      <c r="U48" s="7"/>
    </row>
    <row r="49" spans="1:21" x14ac:dyDescent="0.2">
      <c r="A49" s="7" t="s">
        <v>234</v>
      </c>
      <c r="C49" s="13"/>
      <c r="D49" s="4"/>
      <c r="E49" s="39">
        <f>SUM(E45:E48)</f>
        <v>0</v>
      </c>
      <c r="I49" s="7"/>
      <c r="J49" s="7"/>
      <c r="M49" s="4"/>
      <c r="N49" s="4"/>
      <c r="O49" s="4"/>
      <c r="P49" s="4"/>
      <c r="Q49" s="4"/>
      <c r="R49" s="7"/>
      <c r="T49" s="7"/>
      <c r="U49" s="7"/>
    </row>
    <row r="50" spans="1:21" x14ac:dyDescent="0.2">
      <c r="A50" s="5"/>
      <c r="C50" s="13"/>
      <c r="D50" s="4"/>
      <c r="E50" s="13"/>
      <c r="I50" s="7"/>
      <c r="J50" s="7"/>
      <c r="M50" s="4"/>
      <c r="N50" s="4"/>
      <c r="O50" s="4"/>
      <c r="P50" s="4"/>
      <c r="Q50" s="4"/>
      <c r="R50" s="7"/>
      <c r="T50" s="7"/>
      <c r="U50" s="7"/>
    </row>
    <row r="51" spans="1:21" x14ac:dyDescent="0.2">
      <c r="A51" s="7" t="s">
        <v>235</v>
      </c>
      <c r="C51" s="13"/>
      <c r="D51" s="4"/>
      <c r="E51" s="13"/>
      <c r="I51" s="7"/>
      <c r="J51" s="7"/>
      <c r="M51" s="4"/>
      <c r="N51" s="4"/>
      <c r="O51" s="4"/>
      <c r="P51" s="4"/>
      <c r="Q51" s="4"/>
      <c r="R51" s="7"/>
      <c r="T51" s="7"/>
      <c r="U51" s="7"/>
    </row>
    <row r="52" spans="1:21" x14ac:dyDescent="0.2">
      <c r="A52" s="5" t="s">
        <v>221</v>
      </c>
      <c r="B52" t="s">
        <v>11</v>
      </c>
      <c r="C52">
        <f>D93</f>
        <v>0</v>
      </c>
      <c r="D52" s="9">
        <f>Grunduppgifter!B25</f>
        <v>283</v>
      </c>
      <c r="E52" s="13">
        <f>C52*D52</f>
        <v>0</v>
      </c>
      <c r="I52" s="7"/>
      <c r="J52" s="7"/>
      <c r="M52" s="4"/>
      <c r="N52" s="4"/>
      <c r="O52" s="4"/>
      <c r="P52" s="4"/>
      <c r="Q52" s="4"/>
      <c r="R52" s="7"/>
      <c r="T52" s="7"/>
      <c r="U52" s="7"/>
    </row>
    <row r="53" spans="1:21" x14ac:dyDescent="0.2">
      <c r="A53" s="5" t="s">
        <v>222</v>
      </c>
      <c r="B53" t="s">
        <v>11</v>
      </c>
      <c r="C53">
        <f>C93</f>
        <v>0</v>
      </c>
      <c r="D53" s="9">
        <f>Grunduppgifter!B26</f>
        <v>186</v>
      </c>
      <c r="E53" s="13">
        <f>C53*D53</f>
        <v>0</v>
      </c>
      <c r="I53" s="7"/>
      <c r="J53" s="7"/>
      <c r="M53" s="4"/>
      <c r="N53" s="4"/>
      <c r="O53" s="4"/>
      <c r="P53" s="4"/>
      <c r="Q53" s="4"/>
      <c r="R53" s="7"/>
      <c r="T53" s="7"/>
      <c r="U53" s="7"/>
    </row>
    <row r="54" spans="1:21" x14ac:dyDescent="0.2">
      <c r="A54" t="s">
        <v>267</v>
      </c>
      <c r="C54">
        <v>0.1</v>
      </c>
      <c r="D54" s="13"/>
      <c r="E54" s="13">
        <f>C54*D54</f>
        <v>0</v>
      </c>
      <c r="I54" s="7"/>
      <c r="J54" s="7"/>
      <c r="M54" s="4"/>
      <c r="N54" s="4"/>
      <c r="O54" s="4"/>
      <c r="P54" s="4"/>
      <c r="Q54" s="4"/>
      <c r="R54" s="7"/>
      <c r="T54" s="7"/>
      <c r="U54" s="7"/>
    </row>
    <row r="55" spans="1:21" x14ac:dyDescent="0.2">
      <c r="A55" s="5" t="s">
        <v>236</v>
      </c>
      <c r="C55">
        <v>0.1</v>
      </c>
      <c r="D55" s="13">
        <f>'Maskiner 1'!J30</f>
        <v>6566.3263932658247</v>
      </c>
      <c r="E55" s="13">
        <f>C55*D55</f>
        <v>656.63263932658253</v>
      </c>
      <c r="I55" s="7"/>
      <c r="J55" s="7"/>
      <c r="M55" s="4"/>
      <c r="N55" s="4"/>
      <c r="O55" s="4"/>
      <c r="P55" s="4"/>
      <c r="Q55" s="4"/>
      <c r="R55" s="7"/>
      <c r="T55" s="7"/>
      <c r="U55" s="7"/>
    </row>
    <row r="56" spans="1:21" x14ac:dyDescent="0.2">
      <c r="A56" s="5" t="s">
        <v>237</v>
      </c>
      <c r="B56" t="s">
        <v>16</v>
      </c>
      <c r="C56" s="96">
        <v>500</v>
      </c>
      <c r="D56" s="4">
        <f>Grunduppgifter!B31</f>
        <v>0.96</v>
      </c>
      <c r="E56" s="13">
        <f>D56*C56</f>
        <v>480</v>
      </c>
      <c r="I56" s="7"/>
      <c r="J56" s="7"/>
      <c r="M56" s="4"/>
      <c r="N56" s="4"/>
      <c r="O56" s="4"/>
      <c r="P56" s="4"/>
      <c r="Q56" s="4"/>
      <c r="R56" s="7"/>
      <c r="T56" s="7"/>
      <c r="U56" s="7"/>
    </row>
    <row r="57" spans="1:21" x14ac:dyDescent="0.2">
      <c r="A57" s="5" t="s">
        <v>268</v>
      </c>
      <c r="B57" t="s">
        <v>269</v>
      </c>
      <c r="C57" s="13">
        <f>C9</f>
        <v>7125</v>
      </c>
      <c r="D57" s="4">
        <v>0</v>
      </c>
      <c r="E57" s="13">
        <f>C57*D57</f>
        <v>0</v>
      </c>
      <c r="I57" s="7"/>
      <c r="J57" s="7"/>
      <c r="M57" s="4"/>
      <c r="N57" s="4"/>
      <c r="O57" s="4"/>
      <c r="P57" s="4"/>
      <c r="Q57" s="4"/>
      <c r="R57" s="7"/>
      <c r="T57" s="7"/>
      <c r="U57" s="7"/>
    </row>
    <row r="58" spans="1:21" x14ac:dyDescent="0.2">
      <c r="A58" s="29" t="s">
        <v>298</v>
      </c>
      <c r="B58" s="24" t="s">
        <v>120</v>
      </c>
      <c r="C58" s="26">
        <f>C9/15</f>
        <v>475</v>
      </c>
      <c r="D58" s="31">
        <v>1.6</v>
      </c>
      <c r="E58" s="26">
        <f>C58*D58</f>
        <v>760</v>
      </c>
      <c r="F58" s="24"/>
      <c r="G58" s="24"/>
      <c r="H58" s="24"/>
      <c r="I58" s="7"/>
      <c r="J58" s="7"/>
      <c r="M58" s="4"/>
      <c r="N58" s="4"/>
      <c r="O58" s="4"/>
      <c r="P58" s="4"/>
      <c r="Q58" s="4"/>
      <c r="R58" s="7"/>
      <c r="T58" s="7"/>
      <c r="U58" s="7"/>
    </row>
    <row r="59" spans="1:21" x14ac:dyDescent="0.2">
      <c r="A59" s="7" t="s">
        <v>238</v>
      </c>
      <c r="C59" s="13"/>
      <c r="D59" s="4"/>
      <c r="E59" s="39">
        <f>SUM(E52:E58)</f>
        <v>1896.6326393265826</v>
      </c>
      <c r="I59" s="7"/>
      <c r="J59" s="7"/>
      <c r="M59" s="4"/>
      <c r="N59" s="4"/>
      <c r="O59" s="4"/>
      <c r="P59" s="4"/>
      <c r="Q59" s="4"/>
      <c r="R59" s="7"/>
      <c r="T59" s="7"/>
      <c r="U59" s="7"/>
    </row>
    <row r="60" spans="1:21" x14ac:dyDescent="0.2">
      <c r="A60" s="5"/>
      <c r="C60" s="13"/>
      <c r="D60" s="4"/>
      <c r="E60" s="13"/>
      <c r="I60" s="7"/>
      <c r="J60" s="7"/>
      <c r="M60" s="4"/>
      <c r="N60" s="4"/>
      <c r="O60" s="4"/>
      <c r="P60" s="4"/>
      <c r="Q60" s="4"/>
      <c r="R60" s="7"/>
      <c r="T60" s="7"/>
      <c r="U60" s="7"/>
    </row>
    <row r="61" spans="1:21" x14ac:dyDescent="0.2">
      <c r="A61" s="7" t="s">
        <v>131</v>
      </c>
      <c r="C61" s="13"/>
      <c r="D61" s="4"/>
      <c r="E61" s="13"/>
      <c r="I61" s="7"/>
      <c r="J61" s="7"/>
      <c r="M61" s="4"/>
      <c r="N61" s="4"/>
      <c r="O61" s="4"/>
      <c r="P61" s="4"/>
      <c r="Q61" s="4"/>
      <c r="R61" s="7"/>
      <c r="T61" s="7"/>
      <c r="U61" s="7"/>
    </row>
    <row r="62" spans="1:21" x14ac:dyDescent="0.2">
      <c r="A62" t="s">
        <v>19</v>
      </c>
      <c r="B62" s="5"/>
      <c r="C62" s="13">
        <v>1</v>
      </c>
      <c r="D62" s="9">
        <f>Grunduppgifter!B58</f>
        <v>1500</v>
      </c>
      <c r="E62" s="13">
        <f>C62*D62</f>
        <v>1500</v>
      </c>
      <c r="F62" s="13"/>
      <c r="H62" t="s">
        <v>139</v>
      </c>
      <c r="I62" s="7"/>
      <c r="J62" s="7"/>
      <c r="M62" s="4"/>
      <c r="N62" s="4"/>
      <c r="O62" s="4"/>
      <c r="P62" s="4"/>
      <c r="Q62" s="4"/>
      <c r="R62" s="7"/>
      <c r="T62" s="7"/>
      <c r="U62" s="7"/>
    </row>
    <row r="63" spans="1:21" x14ac:dyDescent="0.2">
      <c r="A63" s="24" t="s">
        <v>134</v>
      </c>
      <c r="B63" s="109" t="s">
        <v>11</v>
      </c>
      <c r="C63" s="197">
        <f>D94</f>
        <v>60</v>
      </c>
      <c r="D63" s="197">
        <f>Grunduppgifter!B25</f>
        <v>283</v>
      </c>
      <c r="E63" s="26">
        <f>C63*D63</f>
        <v>16980</v>
      </c>
      <c r="F63" s="26"/>
      <c r="G63" s="24"/>
      <c r="H63" s="24" t="s">
        <v>139</v>
      </c>
      <c r="I63" s="7"/>
      <c r="J63" s="7"/>
      <c r="M63" s="4"/>
      <c r="N63" s="4"/>
      <c r="O63" s="4"/>
      <c r="P63" s="4"/>
      <c r="Q63" s="4"/>
      <c r="R63" s="7"/>
      <c r="T63" s="7"/>
      <c r="U63" s="7"/>
    </row>
    <row r="64" spans="1:21" x14ac:dyDescent="0.2">
      <c r="A64" s="7" t="s">
        <v>239</v>
      </c>
      <c r="B64" s="7"/>
      <c r="C64" s="7"/>
      <c r="D64" s="7"/>
      <c r="E64" s="39">
        <f>SUM(E62:E63)</f>
        <v>18480</v>
      </c>
      <c r="F64" s="7"/>
      <c r="G64" s="7"/>
      <c r="H64" s="7"/>
      <c r="I64" s="7"/>
      <c r="J64" s="7"/>
      <c r="M64" s="4"/>
      <c r="N64" s="4"/>
      <c r="O64" s="4"/>
      <c r="P64" s="4"/>
      <c r="Q64" s="4"/>
      <c r="R64" s="7"/>
      <c r="T64" s="7"/>
      <c r="U64" s="7"/>
    </row>
    <row r="65" spans="1:21" x14ac:dyDescent="0.2">
      <c r="A65" s="30"/>
      <c r="B65" s="24"/>
      <c r="C65" s="24"/>
      <c r="D65" s="24"/>
      <c r="E65" s="26"/>
      <c r="F65" s="24"/>
      <c r="G65" s="24"/>
      <c r="H65" s="24"/>
      <c r="S65" s="7"/>
    </row>
    <row r="66" spans="1:21" x14ac:dyDescent="0.2">
      <c r="A66" s="7" t="s">
        <v>240</v>
      </c>
      <c r="B66" s="46"/>
      <c r="C66" s="46"/>
      <c r="D66" s="46"/>
      <c r="E66" s="110">
        <f>E35+E42+E49+E59+E64</f>
        <v>91064.310366992009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7"/>
      <c r="T66" s="46"/>
      <c r="U66" s="46"/>
    </row>
    <row r="67" spans="1:21" x14ac:dyDescent="0.2">
      <c r="A67" s="46"/>
      <c r="E67" s="13"/>
      <c r="S67" s="7"/>
    </row>
    <row r="68" spans="1:21" x14ac:dyDescent="0.2">
      <c r="A68" s="7" t="s">
        <v>241</v>
      </c>
      <c r="E68" s="9"/>
    </row>
    <row r="69" spans="1:21" x14ac:dyDescent="0.2">
      <c r="A69" t="s">
        <v>121</v>
      </c>
      <c r="C69">
        <v>0.1</v>
      </c>
      <c r="D69" s="13">
        <f>Grunduppgifter!B67/(Grunduppgifter!B21+0.05*(Grunduppgifter!B20-Grunduppgifter!B21))</f>
        <v>27272.727272727272</v>
      </c>
      <c r="E69" s="13">
        <f>C69*D69</f>
        <v>2727.2727272727275</v>
      </c>
    </row>
    <row r="70" spans="1:21" x14ac:dyDescent="0.2">
      <c r="A70" s="24" t="s">
        <v>215</v>
      </c>
      <c r="B70" s="24"/>
      <c r="C70" s="24">
        <v>0.1</v>
      </c>
      <c r="D70" s="26">
        <f>Grunduppgifter!B68/(Grunduppgifter!B21+0.05*(Grunduppgifter!B20-Grunduppgifter!B21))</f>
        <v>27272.727272727272</v>
      </c>
      <c r="E70" s="26">
        <f>C70*D70</f>
        <v>2727.2727272727275</v>
      </c>
      <c r="F70" s="24"/>
      <c r="G70" s="24"/>
      <c r="H70" s="24"/>
      <c r="R70" s="7"/>
    </row>
    <row r="71" spans="1:21" x14ac:dyDescent="0.2">
      <c r="A71" s="7" t="s">
        <v>242</v>
      </c>
      <c r="B71" s="7"/>
      <c r="C71" s="7"/>
      <c r="D71" s="39"/>
      <c r="E71" s="39">
        <f>SUM(E69:E70)</f>
        <v>5454.545454545455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T71" s="7"/>
      <c r="U71" s="7"/>
    </row>
    <row r="72" spans="1:21" x14ac:dyDescent="0.2">
      <c r="A72" s="46"/>
      <c r="D72" s="13"/>
      <c r="E72" s="13"/>
      <c r="R72" s="7"/>
      <c r="S72" s="5"/>
    </row>
    <row r="73" spans="1:21" x14ac:dyDescent="0.2">
      <c r="A73" s="30" t="s">
        <v>0</v>
      </c>
      <c r="B73" s="24"/>
      <c r="C73" s="24"/>
      <c r="D73" s="24"/>
      <c r="E73" s="52">
        <f>E11-E66-E71</f>
        <v>0</v>
      </c>
      <c r="F73" s="24"/>
      <c r="G73" s="24"/>
      <c r="H73" s="24"/>
      <c r="S73" s="7"/>
    </row>
    <row r="74" spans="1:21" x14ac:dyDescent="0.2">
      <c r="A74" s="7"/>
      <c r="E74" s="9"/>
      <c r="S74" s="7"/>
    </row>
    <row r="75" spans="1:21" x14ac:dyDescent="0.2">
      <c r="A75" s="7"/>
      <c r="B75" s="145"/>
      <c r="C75" s="145"/>
      <c r="D75" s="145"/>
    </row>
    <row r="76" spans="1:21" ht="15.75" x14ac:dyDescent="0.25">
      <c r="A76" s="53" t="s">
        <v>243</v>
      </c>
      <c r="B76" s="24"/>
      <c r="C76" s="24"/>
      <c r="D76" s="24"/>
      <c r="E76" s="24"/>
      <c r="F76" s="24"/>
      <c r="G76" s="24"/>
      <c r="H76" s="24"/>
    </row>
    <row r="77" spans="1:21" x14ac:dyDescent="0.2">
      <c r="A77" s="7"/>
      <c r="B77" s="111"/>
      <c r="C77" s="133" t="s">
        <v>244</v>
      </c>
      <c r="D77" s="133" t="s">
        <v>245</v>
      </c>
      <c r="E77" s="111"/>
      <c r="F77" s="133" t="s">
        <v>29</v>
      </c>
      <c r="G77" s="50"/>
      <c r="H77" s="7" t="s">
        <v>30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x14ac:dyDescent="0.2">
      <c r="A78" s="30" t="s">
        <v>27</v>
      </c>
      <c r="B78" s="30"/>
      <c r="C78" s="134" t="s">
        <v>284</v>
      </c>
      <c r="D78" s="134" t="s">
        <v>284</v>
      </c>
      <c r="E78" s="112"/>
      <c r="F78" s="134" t="s">
        <v>284</v>
      </c>
      <c r="G78" s="49"/>
      <c r="H78" s="30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x14ac:dyDescent="0.2">
      <c r="A79" t="s">
        <v>82</v>
      </c>
      <c r="D79">
        <v>2</v>
      </c>
      <c r="F79">
        <v>2</v>
      </c>
    </row>
    <row r="80" spans="1:21" x14ac:dyDescent="0.2">
      <c r="A80" t="s">
        <v>33</v>
      </c>
      <c r="D80">
        <v>2</v>
      </c>
      <c r="F80">
        <v>2</v>
      </c>
    </row>
    <row r="81" spans="1:21" x14ac:dyDescent="0.2">
      <c r="A81" t="s">
        <v>53</v>
      </c>
      <c r="D81">
        <v>3</v>
      </c>
      <c r="F81">
        <v>0</v>
      </c>
      <c r="H81" t="s">
        <v>270</v>
      </c>
    </row>
    <row r="82" spans="1:21" x14ac:dyDescent="0.2">
      <c r="A82" t="s">
        <v>247</v>
      </c>
      <c r="D82">
        <v>5</v>
      </c>
      <c r="F82">
        <v>0</v>
      </c>
    </row>
    <row r="83" spans="1:21" x14ac:dyDescent="0.2">
      <c r="A83" t="s">
        <v>34</v>
      </c>
      <c r="D83">
        <v>4</v>
      </c>
      <c r="F83">
        <v>0</v>
      </c>
      <c r="H83" t="s">
        <v>66</v>
      </c>
    </row>
    <row r="84" spans="1:21" x14ac:dyDescent="0.2">
      <c r="A84" t="s">
        <v>88</v>
      </c>
      <c r="D84">
        <v>0</v>
      </c>
      <c r="F84">
        <v>0</v>
      </c>
      <c r="H84" t="s">
        <v>295</v>
      </c>
    </row>
    <row r="85" spans="1:21" x14ac:dyDescent="0.2">
      <c r="A85" t="s">
        <v>64</v>
      </c>
      <c r="D85">
        <v>3</v>
      </c>
      <c r="F85">
        <v>0</v>
      </c>
      <c r="H85" t="s">
        <v>277</v>
      </c>
    </row>
    <row r="86" spans="1:21" x14ac:dyDescent="0.2">
      <c r="A86" t="s">
        <v>248</v>
      </c>
      <c r="C86">
        <v>7</v>
      </c>
      <c r="D86">
        <v>1</v>
      </c>
      <c r="F86">
        <v>0</v>
      </c>
      <c r="H86" s="5" t="s">
        <v>126</v>
      </c>
      <c r="I86" s="5"/>
    </row>
    <row r="87" spans="1:21" x14ac:dyDescent="0.2">
      <c r="A87" t="s">
        <v>35</v>
      </c>
      <c r="C87">
        <v>23</v>
      </c>
      <c r="D87">
        <v>2</v>
      </c>
      <c r="F87">
        <v>0</v>
      </c>
      <c r="H87" s="5"/>
    </row>
    <row r="88" spans="1:21" x14ac:dyDescent="0.2">
      <c r="A88" s="24" t="s">
        <v>127</v>
      </c>
      <c r="B88" s="24"/>
      <c r="C88" s="24"/>
      <c r="D88" s="24">
        <v>2</v>
      </c>
      <c r="E88" s="24"/>
      <c r="F88" s="24">
        <v>0</v>
      </c>
      <c r="G88" s="24"/>
      <c r="H88" s="24"/>
    </row>
    <row r="89" spans="1:21" x14ac:dyDescent="0.2">
      <c r="A89" s="5" t="s">
        <v>249</v>
      </c>
      <c r="C89">
        <f>SUM(C79:C88)</f>
        <v>30</v>
      </c>
      <c r="D89">
        <f>SUM(D79:D88)</f>
        <v>24</v>
      </c>
      <c r="F89">
        <f>SUM(F79:F88)</f>
        <v>4</v>
      </c>
    </row>
    <row r="91" spans="1:21" x14ac:dyDescent="0.2">
      <c r="A91" s="5" t="s">
        <v>250</v>
      </c>
      <c r="C91" s="9">
        <f>(0.2*C4/30+0.8*C4/30)*9/10</f>
        <v>225</v>
      </c>
      <c r="D91" s="9">
        <f>(0.2*C4/30+0.8*C4/30)*1/10</f>
        <v>25</v>
      </c>
      <c r="F91" s="9">
        <f>D91/4</f>
        <v>6.25</v>
      </c>
      <c r="H91" t="s">
        <v>401</v>
      </c>
    </row>
    <row r="92" spans="1:21" x14ac:dyDescent="0.2">
      <c r="A92" s="5" t="s">
        <v>231</v>
      </c>
      <c r="D92">
        <v>0</v>
      </c>
    </row>
    <row r="93" spans="1:21" x14ac:dyDescent="0.2">
      <c r="A93" s="22" t="s">
        <v>128</v>
      </c>
      <c r="B93" s="22"/>
      <c r="C93" s="22"/>
      <c r="D93" s="22"/>
      <c r="E93" s="22"/>
      <c r="F93" s="22">
        <v>0</v>
      </c>
      <c r="G93" s="22"/>
      <c r="H93" s="195"/>
    </row>
    <row r="94" spans="1:21" s="194" customFormat="1" x14ac:dyDescent="0.2">
      <c r="A94" s="60" t="s">
        <v>259</v>
      </c>
      <c r="B94" s="24"/>
      <c r="C94" s="24"/>
      <c r="D94" s="24">
        <f>Grunduppgifter!B27</f>
        <v>60</v>
      </c>
      <c r="E94" s="24"/>
      <c r="F94" s="24"/>
      <c r="G94" s="24"/>
      <c r="H94" s="29"/>
    </row>
    <row r="95" spans="1:21" x14ac:dyDescent="0.2">
      <c r="A95" s="7" t="s">
        <v>251</v>
      </c>
      <c r="B95" s="7"/>
      <c r="C95" s="45">
        <f>SUM(C89:C94)</f>
        <v>255</v>
      </c>
      <c r="D95" s="45">
        <f>SUM(D89:D93)</f>
        <v>49</v>
      </c>
      <c r="E95" s="7"/>
      <c r="F95" s="45">
        <f>SUM(F89:F94)</f>
        <v>10.25</v>
      </c>
      <c r="G95" s="7"/>
      <c r="H95" s="45">
        <f>SUM(B95:D95)</f>
        <v>304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8" spans="1:8" ht="25.5" x14ac:dyDescent="0.25">
      <c r="A98" s="53" t="s">
        <v>132</v>
      </c>
      <c r="B98" s="114"/>
      <c r="C98" s="115" t="s">
        <v>252</v>
      </c>
      <c r="D98" s="115" t="s">
        <v>253</v>
      </c>
    </row>
    <row r="99" spans="1:8" x14ac:dyDescent="0.2">
      <c r="A99" t="s">
        <v>278</v>
      </c>
      <c r="B99" s="116"/>
      <c r="C99" s="116">
        <f>(E28-E10)/C9</f>
        <v>2.3440557093460925</v>
      </c>
      <c r="D99" s="116">
        <f t="shared" ref="D99:D104" si="1">C99+$C$105*C99/($C$106-$C$105)</f>
        <v>2.4852344845479748</v>
      </c>
    </row>
    <row r="100" spans="1:8" x14ac:dyDescent="0.2">
      <c r="A100" t="s">
        <v>254</v>
      </c>
      <c r="B100" s="116"/>
      <c r="C100" s="116">
        <f>E34/C9</f>
        <v>0.55246046295782747</v>
      </c>
      <c r="D100" s="116">
        <f t="shared" si="1"/>
        <v>0.58573428456405918</v>
      </c>
    </row>
    <row r="101" spans="1:8" x14ac:dyDescent="0.2">
      <c r="A101" t="s">
        <v>36</v>
      </c>
      <c r="B101" s="116"/>
      <c r="C101" s="116">
        <f>E42/C9</f>
        <v>6.954385964912281</v>
      </c>
      <c r="D101" s="116">
        <f t="shared" si="1"/>
        <v>7.3732376538430726</v>
      </c>
    </row>
    <row r="102" spans="1:8" x14ac:dyDescent="0.2">
      <c r="A102" t="s">
        <v>231</v>
      </c>
      <c r="B102" s="116"/>
      <c r="C102" s="116">
        <f>E49/C9</f>
        <v>0</v>
      </c>
      <c r="D102" s="116">
        <f t="shared" si="1"/>
        <v>0</v>
      </c>
    </row>
    <row r="103" spans="1:8" x14ac:dyDescent="0.2">
      <c r="A103" t="s">
        <v>235</v>
      </c>
      <c r="B103" s="116"/>
      <c r="C103" s="116">
        <f>E59/C9</f>
        <v>0.26619405464232737</v>
      </c>
      <c r="D103" s="116">
        <f t="shared" si="1"/>
        <v>0.28222650235702373</v>
      </c>
    </row>
    <row r="104" spans="1:8" x14ac:dyDescent="0.2">
      <c r="A104" t="s">
        <v>131</v>
      </c>
      <c r="B104" s="116"/>
      <c r="C104" s="116">
        <f>E64/C9</f>
        <v>2.5936842105263156</v>
      </c>
      <c r="D104" s="116">
        <f t="shared" si="1"/>
        <v>2.7498977163071636</v>
      </c>
    </row>
    <row r="105" spans="1:8" x14ac:dyDescent="0.2">
      <c r="A105" s="24" t="s">
        <v>241</v>
      </c>
      <c r="B105" s="117"/>
      <c r="C105" s="117">
        <f>E71/C9</f>
        <v>0.76555023923444987</v>
      </c>
      <c r="D105" s="117"/>
    </row>
    <row r="106" spans="1:8" x14ac:dyDescent="0.2">
      <c r="B106" s="113"/>
      <c r="C106" s="113">
        <f>SUM(C99:C105)</f>
        <v>13.476330641619294</v>
      </c>
      <c r="D106" s="113">
        <f>SUM(D99:D105)</f>
        <v>13.476330641619294</v>
      </c>
    </row>
    <row r="107" spans="1:8" x14ac:dyDescent="0.2">
      <c r="B107" s="116"/>
    </row>
    <row r="109" spans="1:8" x14ac:dyDescent="0.2">
      <c r="A109" s="58" t="s">
        <v>255</v>
      </c>
      <c r="B109" s="58"/>
      <c r="C109" s="118">
        <v>-0.5</v>
      </c>
      <c r="D109" s="118">
        <v>-0.25</v>
      </c>
      <c r="E109" s="58">
        <v>0</v>
      </c>
      <c r="F109" s="118">
        <v>0.25</v>
      </c>
      <c r="G109" s="118">
        <v>0.5</v>
      </c>
    </row>
    <row r="110" spans="1:8" x14ac:dyDescent="0.2">
      <c r="A110" t="s">
        <v>256</v>
      </c>
      <c r="B110" t="s">
        <v>246</v>
      </c>
      <c r="C110" s="9">
        <f>($C$95+$D$95)*(1+C109)</f>
        <v>152</v>
      </c>
      <c r="D110" s="9">
        <f>($C$95+$D$95)*(1+D109)</f>
        <v>228</v>
      </c>
      <c r="E110" s="9">
        <f>($C$95+$D$95)*(1+E109)</f>
        <v>304</v>
      </c>
      <c r="F110" s="9">
        <f>($C$95+$D$95)*(1+F109)</f>
        <v>380</v>
      </c>
      <c r="G110" s="9">
        <f>($C$95+$D$95)*(1+G109)</f>
        <v>456</v>
      </c>
    </row>
    <row r="111" spans="1:8" x14ac:dyDescent="0.2">
      <c r="A111" s="24" t="s">
        <v>116</v>
      </c>
      <c r="B111" s="24" t="s">
        <v>133</v>
      </c>
      <c r="C111" s="31">
        <f>($E$66+$E$71-$E$10+C109*($E$14+$E$15+$E$38+$E$39+$E$45+$E$52+$E$53))/$C$9</f>
        <v>9.1747867819701714</v>
      </c>
      <c r="D111" s="31">
        <f>($E$66+$E$71-$E$10+D109*($E$14+$E$15+$E$38+$E$39+$E$45+$E$52+$E$53))/$C$9</f>
        <v>11.325558711794733</v>
      </c>
      <c r="E111" s="31">
        <f>($E$66+$E$71-$E$10+E109*($E$14+$E$15+$E$38+$E$39+$E$45+$E$52+$E$53))/$C$9</f>
        <v>13.476330641619294</v>
      </c>
      <c r="F111" s="31">
        <f>($E$66+$E$71-$E$10+F109*($E$14+$E$15+$E$38+$E$39+$E$45+$E$52+$E$53))/$C$9</f>
        <v>15.627102571443855</v>
      </c>
      <c r="G111" s="31">
        <f>($E$66+$E$71-$E$10+G109*($E$14+$E$15+$E$38+$E$39+$E$45+$E$52+$E$53))/$C$9</f>
        <v>17.777874501268418</v>
      </c>
      <c r="H111" s="7"/>
    </row>
    <row r="114" spans="1:7" x14ac:dyDescent="0.2">
      <c r="A114" s="30" t="s">
        <v>255</v>
      </c>
      <c r="B114" s="30"/>
      <c r="C114" s="119">
        <v>-0.5</v>
      </c>
      <c r="D114" s="119">
        <v>-0.25</v>
      </c>
      <c r="E114" s="30">
        <v>0</v>
      </c>
      <c r="F114" s="119">
        <v>0.25</v>
      </c>
      <c r="G114" s="119">
        <v>0.5</v>
      </c>
    </row>
    <row r="115" spans="1:7" x14ac:dyDescent="0.2">
      <c r="A115" t="s">
        <v>4</v>
      </c>
      <c r="B115" t="s">
        <v>257</v>
      </c>
      <c r="C115" s="137">
        <f>$C$9/1000*(1+C114)</f>
        <v>3.5625</v>
      </c>
      <c r="D115" s="137">
        <f>$C$9/1000*(1+D114)</f>
        <v>5.34375</v>
      </c>
      <c r="E115" s="137">
        <f>$C$9/1000*(1+E114)</f>
        <v>7.125</v>
      </c>
      <c r="F115" s="137">
        <f>$C$9/1000*(1+F114)</f>
        <v>8.90625</v>
      </c>
      <c r="G115" s="137">
        <f>$C$9/1000*(1+G114)</f>
        <v>10.6875</v>
      </c>
    </row>
    <row r="116" spans="1:7" x14ac:dyDescent="0.2">
      <c r="A116" t="s">
        <v>220</v>
      </c>
      <c r="B116" t="s">
        <v>202</v>
      </c>
      <c r="C116" s="13">
        <f>$E$35</f>
        <v>21137.677727665428</v>
      </c>
      <c r="D116" s="13">
        <f>$E$35</f>
        <v>21137.677727665428</v>
      </c>
      <c r="E116" s="13">
        <f>$E$35</f>
        <v>21137.677727665428</v>
      </c>
      <c r="F116" s="13">
        <f>$E$35</f>
        <v>21137.677727665428</v>
      </c>
      <c r="G116" s="13">
        <f>$E$35</f>
        <v>21137.677727665428</v>
      </c>
    </row>
    <row r="117" spans="1:7" x14ac:dyDescent="0.2">
      <c r="A117" t="s">
        <v>258</v>
      </c>
      <c r="B117" t="s">
        <v>202</v>
      </c>
      <c r="C117" s="13">
        <f>((0.2*$C$4/30+0.8*$C$4*(1+C114)/30)*9/10*Grunduppgifter!$B$26)+((0.2*$C$4/30+0.8*$C$4*(1+C114)/30)*1/10*Grunduppgifter!$B$25)+((0.2*$C$4/30/40+0.8*$C$4*(1+C114)/30/40)*Grunduppgifter!$B$30)</f>
        <v>29730</v>
      </c>
      <c r="D117" s="13">
        <f>((0.2*$C$4/30+0.8*$C$4*(1+D114)/30)*9/10*Grunduppgifter!$B$26)+((0.2*$C$4/30+0.8*$C$4*(1+D114)/30)*1/10*Grunduppgifter!$B$25)+((0.2*$C$4/30/40+0.8*$C$4*(1+D114)/30/40)*Grunduppgifter!$B$30)</f>
        <v>39640</v>
      </c>
      <c r="E117" s="13">
        <f>((0.2*$C$4/30+0.8*$C$4*(1+E114)/30)*9/10*Grunduppgifter!$B$26)+((0.2*$C$4/30+0.8*$C$4*(1+E114)/30)*1/10*Grunduppgifter!$B$25)+((0.2*$C$4/30/40+0.8*$C$4*(1+E114)/30/40)*Grunduppgifter!$B$30)</f>
        <v>49550</v>
      </c>
      <c r="F117" s="13">
        <f>((0.2*$C$4/30+0.8*$C$4*(1+F114)/30)*9/10*Grunduppgifter!$B$26)+((0.2*$C$4/30+0.8*$C$4*(1+F114)/30)*1/10*Grunduppgifter!$B$25)+((0.2*$C$4/30/40+0.8*$C$4*(1+F114)/30/40)*Grunduppgifter!$B$30)</f>
        <v>59460</v>
      </c>
      <c r="G117" s="13">
        <f>((0.2*$C$4/30+0.8*$C$4*(1+G114)/30)*9/10*Grunduppgifter!$B$26)+((0.2*$C$4/30+0.8*$C$4*(1+G114)/30)*1/10*Grunduppgifter!$B$25)+((0.2*$C$4/30/40+0.8*$C$4*(1+G114)/30/40)*Grunduppgifter!$B$30)</f>
        <v>69370</v>
      </c>
    </row>
    <row r="118" spans="1:7" x14ac:dyDescent="0.2">
      <c r="A118" t="s">
        <v>228</v>
      </c>
      <c r="B118" t="s">
        <v>202</v>
      </c>
      <c r="C118" s="13">
        <f>$E$40</f>
        <v>0</v>
      </c>
      <c r="D118" s="13">
        <f>$E$40</f>
        <v>0</v>
      </c>
      <c r="E118" s="13">
        <f>$E$40</f>
        <v>0</v>
      </c>
      <c r="F118" s="13">
        <f>$E$40</f>
        <v>0</v>
      </c>
      <c r="G118" s="13">
        <f>$E$40</f>
        <v>0</v>
      </c>
    </row>
    <row r="119" spans="1:7" x14ac:dyDescent="0.2">
      <c r="A119" t="s">
        <v>231</v>
      </c>
      <c r="B119" t="s">
        <v>202</v>
      </c>
      <c r="C119" s="13">
        <f>$E$47+($E$45+$E$46+$E$48)*(1+C114)</f>
        <v>0</v>
      </c>
      <c r="D119" s="13">
        <f>$E$47+($E$45+$E$46+$E$48)*(1+D114)</f>
        <v>0</v>
      </c>
      <c r="E119" s="13">
        <f>$E$47+($E$45+$E$46+$E$48)*(1+E114)</f>
        <v>0</v>
      </c>
      <c r="F119" s="13">
        <f>$E$47+($E$45+$E$46+$E$48)*(1+F114)</f>
        <v>0</v>
      </c>
      <c r="G119" s="13">
        <f>$E$47+($E$45+$E$46+$E$48)*(1+G114)</f>
        <v>0</v>
      </c>
    </row>
    <row r="120" spans="1:7" x14ac:dyDescent="0.2">
      <c r="A120" t="s">
        <v>235</v>
      </c>
      <c r="B120" t="s">
        <v>202</v>
      </c>
      <c r="C120" s="13">
        <f t="shared" ref="C120:D120" si="2">$E$54+$E$55+$E$56+($E$52+$E$53+$E$57+$E$58)*(1+C114)</f>
        <v>1516.6326393265826</v>
      </c>
      <c r="D120" s="13">
        <f t="shared" si="2"/>
        <v>1706.6326393265826</v>
      </c>
      <c r="E120" s="13">
        <f>$E$54+$E$55+$E$56+($E$52+$E$53+$E$57+$E$58)*(1+E114)</f>
        <v>1896.6326393265826</v>
      </c>
      <c r="F120" s="13">
        <f t="shared" ref="F120:G120" si="3">$E$54+$E$55+$E$56+($E$52+$E$53+$E$57+$E$58)*(1+F114)</f>
        <v>2086.6326393265826</v>
      </c>
      <c r="G120" s="13">
        <f t="shared" si="3"/>
        <v>2276.6326393265826</v>
      </c>
    </row>
    <row r="121" spans="1:7" x14ac:dyDescent="0.2">
      <c r="A121" t="s">
        <v>259</v>
      </c>
      <c r="B121" t="s">
        <v>202</v>
      </c>
      <c r="C121" s="13">
        <f t="shared" ref="C121:D121" si="4">0.2*$E$64+0.8*$E$64*(1+C114)</f>
        <v>11088</v>
      </c>
      <c r="D121" s="13">
        <f t="shared" si="4"/>
        <v>14784</v>
      </c>
      <c r="E121" s="13">
        <f>0.2*$E$64+0.8*$E$64*(1+E114)</f>
        <v>18480</v>
      </c>
      <c r="F121" s="13">
        <f t="shared" ref="F121:G121" si="5">0.2*$E$64+0.8*$E$64*(1+F114)</f>
        <v>22176</v>
      </c>
      <c r="G121" s="13">
        <f t="shared" si="5"/>
        <v>25872</v>
      </c>
    </row>
    <row r="122" spans="1:7" x14ac:dyDescent="0.2">
      <c r="A122" t="s">
        <v>260</v>
      </c>
      <c r="B122" t="s">
        <v>202</v>
      </c>
      <c r="C122" s="13">
        <f>SUM(C117:C121)</f>
        <v>42334.632639326584</v>
      </c>
      <c r="D122" s="13">
        <f>SUM(D117:D121)</f>
        <v>56130.632639326584</v>
      </c>
      <c r="E122" s="13">
        <f>SUM(E117:E121)</f>
        <v>69926.632639326592</v>
      </c>
      <c r="F122" s="13">
        <f>SUM(F117:F121)</f>
        <v>83722.632639326592</v>
      </c>
      <c r="G122" s="13">
        <f>SUM(G117:G121)</f>
        <v>97518.632639326577</v>
      </c>
    </row>
    <row r="123" spans="1:7" x14ac:dyDescent="0.2">
      <c r="A123" t="s">
        <v>121</v>
      </c>
      <c r="B123" t="s">
        <v>202</v>
      </c>
      <c r="C123" s="13">
        <f>$E$71</f>
        <v>5454.545454545455</v>
      </c>
      <c r="D123" s="13">
        <f>$E$71</f>
        <v>5454.545454545455</v>
      </c>
      <c r="E123" s="13">
        <f>$E$71</f>
        <v>5454.545454545455</v>
      </c>
      <c r="F123" s="13">
        <f>$E$71</f>
        <v>5454.545454545455</v>
      </c>
      <c r="G123" s="13">
        <f>$E$71</f>
        <v>5454.545454545455</v>
      </c>
    </row>
    <row r="124" spans="1:7" x14ac:dyDescent="0.2">
      <c r="A124" t="s">
        <v>261</v>
      </c>
      <c r="B124" t="s">
        <v>202</v>
      </c>
      <c r="C124" s="13">
        <f>C116+C122+C123</f>
        <v>68926.855821537465</v>
      </c>
      <c r="D124" s="13">
        <f>D116+D122+D123</f>
        <v>82722.855821537465</v>
      </c>
      <c r="E124" s="13">
        <f>E116+E122+E123</f>
        <v>96518.85582153748</v>
      </c>
      <c r="F124" s="13">
        <f>F116+F122+F123</f>
        <v>110314.85582153748</v>
      </c>
      <c r="G124" s="13">
        <f>G116+G122+G123</f>
        <v>124110.85582153747</v>
      </c>
    </row>
    <row r="125" spans="1:7" x14ac:dyDescent="0.2">
      <c r="A125" s="24" t="s">
        <v>116</v>
      </c>
      <c r="B125" s="24" t="s">
        <v>133</v>
      </c>
      <c r="C125" s="31">
        <f>(C124-$E$10)/C115/1000</f>
        <v>19.207538476221043</v>
      </c>
      <c r="D125" s="31">
        <f>(D124-$E$10)/D115/1000</f>
        <v>15.38673325315321</v>
      </c>
      <c r="E125" s="31">
        <f>(E124-$E$10)/E115/1000</f>
        <v>13.476330641619295</v>
      </c>
      <c r="F125" s="31">
        <f>(F124-$E$10)/F115/1000</f>
        <v>12.330089074698945</v>
      </c>
      <c r="G125" s="31">
        <f>(G124-$E$10)/G115/1000</f>
        <v>11.565928030085377</v>
      </c>
    </row>
    <row r="128" spans="1:7" x14ac:dyDescent="0.2">
      <c r="A128" s="172" t="s">
        <v>262</v>
      </c>
      <c r="B128" s="121"/>
      <c r="C128" s="121"/>
      <c r="D128" s="121"/>
      <c r="E128" s="121"/>
      <c r="F128" s="122"/>
    </row>
    <row r="129" spans="1:9" ht="25.5" x14ac:dyDescent="0.2">
      <c r="A129" s="123"/>
      <c r="B129" s="169"/>
      <c r="C129" s="124" t="s">
        <v>263</v>
      </c>
      <c r="D129" s="124" t="s">
        <v>223</v>
      </c>
      <c r="E129" s="124" t="s">
        <v>115</v>
      </c>
      <c r="F129" s="125" t="s">
        <v>264</v>
      </c>
    </row>
    <row r="130" spans="1:9" x14ac:dyDescent="0.2">
      <c r="A130" s="173" t="s">
        <v>274</v>
      </c>
      <c r="B130" s="169"/>
      <c r="C130" s="169"/>
      <c r="D130" s="169"/>
      <c r="E130" s="169"/>
      <c r="F130" s="127"/>
    </row>
    <row r="131" spans="1:9" x14ac:dyDescent="0.2">
      <c r="A131" s="123" t="str">
        <f>Grunduppgifter!A36</f>
        <v xml:space="preserve">Biofer 10-3-1 </v>
      </c>
      <c r="B131" s="168" t="s">
        <v>14</v>
      </c>
      <c r="C131" s="169">
        <f>Grunduppgifter!C88</f>
        <v>20</v>
      </c>
      <c r="D131" s="169"/>
      <c r="E131" s="4">
        <f>Grunduppgifter!B36</f>
        <v>3.91</v>
      </c>
      <c r="F131" s="151">
        <f>C131*E131*(1+Grunduppgifter!$B$49)</f>
        <v>93.84</v>
      </c>
    </row>
    <row r="132" spans="1:9" x14ac:dyDescent="0.2">
      <c r="A132" s="123" t="str">
        <f>Grunduppgifter!A37</f>
        <v>Biofer 9-3-4</v>
      </c>
      <c r="B132" s="168" t="s">
        <v>14</v>
      </c>
      <c r="C132" s="169">
        <f>Grunduppgifter!C89</f>
        <v>0</v>
      </c>
      <c r="D132" s="169"/>
      <c r="E132" s="4">
        <f>Grunduppgifter!B37</f>
        <v>4.16</v>
      </c>
      <c r="F132" s="151">
        <f>C132*E132*(1+Grunduppgifter!$B$49)</f>
        <v>0</v>
      </c>
    </row>
    <row r="133" spans="1:9" x14ac:dyDescent="0.2">
      <c r="A133" s="123" t="str">
        <f>Grunduppgifter!A38</f>
        <v xml:space="preserve">Biofer 6-3-12 </v>
      </c>
      <c r="B133" s="168" t="s">
        <v>14</v>
      </c>
      <c r="C133" s="24">
        <f>Grunduppgifter!C90</f>
        <v>0</v>
      </c>
      <c r="D133" s="169"/>
      <c r="E133" s="31">
        <f>Grunduppgifter!B38</f>
        <v>5.1100000000000003</v>
      </c>
      <c r="F133" s="131">
        <f>C133*E133*(1+Grunduppgifter!$B$49)</f>
        <v>0</v>
      </c>
    </row>
    <row r="134" spans="1:9" x14ac:dyDescent="0.2">
      <c r="A134" s="130" t="s">
        <v>279</v>
      </c>
      <c r="B134" s="169"/>
      <c r="C134" s="169">
        <f>SUM(C131:C133)</f>
        <v>20</v>
      </c>
      <c r="D134" s="169"/>
      <c r="E134" s="4">
        <f>IF(C134=0,0,F134/C134)</f>
        <v>4.6920000000000002</v>
      </c>
      <c r="F134" s="128">
        <f>SUM(F131:F133)</f>
        <v>93.84</v>
      </c>
      <c r="H134" s="204">
        <f>((0.2*$C$4/30+0.8*$C$4*(1+E114)/30)*9/10*Grunduppgifter!$B$26)+((0.2*$C$4/15+0.8*$C$4*(1+E114)/30)*1/10*Grunduppgifter!$B$25)</f>
        <v>50340</v>
      </c>
    </row>
    <row r="135" spans="1:9" x14ac:dyDescent="0.2">
      <c r="A135" s="123"/>
      <c r="B135" s="169"/>
      <c r="C135" s="169"/>
      <c r="D135" s="169"/>
      <c r="E135" s="4"/>
      <c r="F135" s="128"/>
      <c r="H135" s="204">
        <f>(((0.2*$C$4/15/40+0.8*$C$4*(1+E114)/15/40)*Grunduppgifter!$B$30))</f>
        <v>1250</v>
      </c>
      <c r="I135">
        <f>H135+H134</f>
        <v>51590</v>
      </c>
    </row>
    <row r="136" spans="1:9" x14ac:dyDescent="0.2">
      <c r="A136" s="173" t="s">
        <v>178</v>
      </c>
      <c r="B136" s="169"/>
      <c r="C136" s="169"/>
      <c r="D136" s="169"/>
      <c r="E136" s="4"/>
      <c r="F136" s="128"/>
    </row>
    <row r="137" spans="1:9" x14ac:dyDescent="0.2">
      <c r="A137" s="123" t="s">
        <v>177</v>
      </c>
      <c r="B137" s="168" t="s">
        <v>14</v>
      </c>
      <c r="C137" s="24">
        <f>Grunduppgifter!C85</f>
        <v>10</v>
      </c>
      <c r="D137" s="169"/>
      <c r="E137" s="31">
        <f>Grunduppgifter!B39</f>
        <v>4.5599999999999996</v>
      </c>
      <c r="F137" s="131">
        <f>C137*E137*(1+Grunduppgifter!$B$49)</f>
        <v>54.719999999999992</v>
      </c>
    </row>
    <row r="138" spans="1:9" x14ac:dyDescent="0.2">
      <c r="A138" s="130" t="s">
        <v>280</v>
      </c>
      <c r="B138" s="169"/>
      <c r="C138" s="169">
        <f>SUM(C137)</f>
        <v>10</v>
      </c>
      <c r="D138" s="169"/>
      <c r="E138" s="4">
        <f>IF(C138=0,0,F138/C138)</f>
        <v>5.4719999999999995</v>
      </c>
      <c r="F138" s="128">
        <f>SUM(F137:F137)</f>
        <v>54.719999999999992</v>
      </c>
    </row>
    <row r="139" spans="1:9" x14ac:dyDescent="0.2">
      <c r="A139" s="123"/>
      <c r="B139" s="169"/>
      <c r="C139" s="169"/>
      <c r="D139" s="169"/>
      <c r="E139" s="169"/>
      <c r="F139" s="127"/>
    </row>
    <row r="140" spans="1:9" x14ac:dyDescent="0.2">
      <c r="A140" s="123"/>
      <c r="B140" s="169"/>
      <c r="C140" s="169"/>
      <c r="D140" s="169"/>
      <c r="E140" s="169"/>
      <c r="F140" s="127"/>
    </row>
    <row r="141" spans="1:9" x14ac:dyDescent="0.2">
      <c r="A141" s="173" t="s">
        <v>275</v>
      </c>
      <c r="B141" s="169"/>
      <c r="C141" s="169"/>
      <c r="D141" s="169"/>
      <c r="E141" s="169"/>
      <c r="F141" s="127"/>
    </row>
    <row r="142" spans="1:9" x14ac:dyDescent="0.2">
      <c r="A142" s="130"/>
      <c r="B142" s="168" t="s">
        <v>59</v>
      </c>
      <c r="C142" s="169"/>
      <c r="D142" s="169"/>
      <c r="E142" s="169"/>
      <c r="F142" s="131"/>
    </row>
    <row r="143" spans="1:9" x14ac:dyDescent="0.2">
      <c r="A143" s="132" t="s">
        <v>281</v>
      </c>
      <c r="B143" s="24"/>
      <c r="C143" s="24"/>
      <c r="D143" s="24"/>
      <c r="E143" s="24"/>
      <c r="F143" s="131">
        <f>SUM(F142)</f>
        <v>0</v>
      </c>
    </row>
    <row r="144" spans="1:9" x14ac:dyDescent="0.2">
      <c r="A144" s="169"/>
      <c r="B144" s="169"/>
      <c r="C144" s="169"/>
      <c r="D144" s="169"/>
      <c r="E144" s="169"/>
      <c r="F144" s="169"/>
    </row>
    <row r="145" spans="1:6" x14ac:dyDescent="0.2">
      <c r="A145" s="169"/>
      <c r="B145" s="169"/>
      <c r="C145" s="169"/>
      <c r="D145" s="169"/>
      <c r="E145" s="169"/>
      <c r="F145" s="169"/>
    </row>
    <row r="146" spans="1:6" x14ac:dyDescent="0.2">
      <c r="A146" s="174" t="s">
        <v>360</v>
      </c>
      <c r="B146" s="175" t="s">
        <v>354</v>
      </c>
      <c r="C146" s="175" t="s">
        <v>355</v>
      </c>
      <c r="D146" s="176" t="s">
        <v>356</v>
      </c>
      <c r="E146" s="169"/>
      <c r="F146" s="169"/>
    </row>
    <row r="147" spans="1:6" x14ac:dyDescent="0.2">
      <c r="A147" s="130" t="s">
        <v>361</v>
      </c>
      <c r="B147" s="169">
        <v>1.5</v>
      </c>
      <c r="C147" s="169">
        <v>0.3</v>
      </c>
      <c r="D147" s="127">
        <v>3</v>
      </c>
      <c r="E147" s="169"/>
      <c r="F147" s="169"/>
    </row>
    <row r="148" spans="1:6" x14ac:dyDescent="0.2">
      <c r="A148" s="173" t="s">
        <v>362</v>
      </c>
      <c r="B148" s="169">
        <f>$C$4*B147/1000/2</f>
        <v>5.625</v>
      </c>
      <c r="C148" s="169">
        <f>$C$4*C147/1000/2</f>
        <v>1.125</v>
      </c>
      <c r="D148" s="127">
        <f>$C$4*D147/1000/2</f>
        <v>11.25</v>
      </c>
      <c r="E148" s="169"/>
      <c r="F148" s="169"/>
    </row>
    <row r="149" spans="1:6" x14ac:dyDescent="0.2">
      <c r="A149" s="173" t="s">
        <v>363</v>
      </c>
      <c r="B149" s="169"/>
      <c r="C149" s="169"/>
      <c r="D149" s="127"/>
      <c r="E149" s="169"/>
      <c r="F149" s="169"/>
    </row>
    <row r="150" spans="1:6" x14ac:dyDescent="0.2">
      <c r="A150" s="123" t="str">
        <f>A18</f>
        <v>Stallgödsel</v>
      </c>
      <c r="B150" s="169">
        <f>C18*Grunduppgifter!B74</f>
        <v>2</v>
      </c>
      <c r="C150" s="169">
        <f>C18*Grunduppgifter!B75</f>
        <v>3</v>
      </c>
      <c r="D150" s="127">
        <f>C18*Grunduppgifter!B76</f>
        <v>10</v>
      </c>
      <c r="E150" s="169"/>
      <c r="F150" s="169"/>
    </row>
    <row r="151" spans="1:6" x14ac:dyDescent="0.2">
      <c r="A151" s="123" t="str">
        <f>Grunduppgifter!A36</f>
        <v xml:space="preserve">Biofer 10-3-1 </v>
      </c>
      <c r="B151" s="169">
        <f>Grunduppgifter!I74*C131</f>
        <v>2.02</v>
      </c>
      <c r="C151" s="169">
        <f>Grunduppgifter!I75*C131</f>
        <v>0.6</v>
      </c>
      <c r="D151" s="127">
        <f>Grunduppgifter!I76*C131</f>
        <v>0.18</v>
      </c>
      <c r="E151" s="169"/>
      <c r="F151" s="169"/>
    </row>
    <row r="152" spans="1:6" x14ac:dyDescent="0.2">
      <c r="A152" s="123" t="str">
        <f>Grunduppgifter!A37</f>
        <v>Biofer 9-3-4</v>
      </c>
      <c r="B152" s="169">
        <f>Grunduppgifter!J74*C132</f>
        <v>0</v>
      </c>
      <c r="C152" s="169">
        <f>Grunduppgifter!J75*C132</f>
        <v>0</v>
      </c>
      <c r="D152" s="127">
        <f>Grunduppgifter!J76*C132</f>
        <v>0</v>
      </c>
      <c r="E152" s="169"/>
      <c r="F152" s="169"/>
    </row>
    <row r="153" spans="1:6" x14ac:dyDescent="0.2">
      <c r="A153" s="123" t="str">
        <f>Grunduppgifter!A38</f>
        <v xml:space="preserve">Biofer 6-3-12 </v>
      </c>
      <c r="B153" s="169">
        <f>Grunduppgifter!K74*C133</f>
        <v>0</v>
      </c>
      <c r="C153" s="169">
        <f>Grunduppgifter!K75*C133</f>
        <v>0</v>
      </c>
      <c r="D153" s="127">
        <f>Grunduppgifter!K76*C133</f>
        <v>0</v>
      </c>
      <c r="E153" s="169"/>
      <c r="F153" s="169"/>
    </row>
    <row r="154" spans="1:6" x14ac:dyDescent="0.2">
      <c r="A154" s="123" t="str">
        <f>A137</f>
        <v>Kalimagnesia 25-6</v>
      </c>
      <c r="B154" s="169"/>
      <c r="C154" s="169"/>
      <c r="D154" s="127">
        <f>Grunduppgifter!F76*C137</f>
        <v>2.5</v>
      </c>
      <c r="E154" s="169"/>
      <c r="F154" s="169"/>
    </row>
    <row r="155" spans="1:6" x14ac:dyDescent="0.2">
      <c r="A155" s="123" t="s">
        <v>365</v>
      </c>
      <c r="B155" s="169">
        <f>'Gröngödsling 1'!C6*Grunduppgifter!C91</f>
        <v>2</v>
      </c>
      <c r="C155" s="169"/>
      <c r="D155" s="127"/>
      <c r="E155" s="169"/>
      <c r="F155" s="169"/>
    </row>
    <row r="156" spans="1:6" x14ac:dyDescent="0.2">
      <c r="A156" s="123" t="s">
        <v>366</v>
      </c>
      <c r="B156" s="169">
        <f>SUM(B150:B155)</f>
        <v>6.02</v>
      </c>
      <c r="C156" s="169">
        <f t="shared" ref="C156:D156" si="6">SUM(C150:C155)</f>
        <v>3.6</v>
      </c>
      <c r="D156" s="127">
        <f t="shared" si="6"/>
        <v>12.68</v>
      </c>
      <c r="E156" s="169"/>
      <c r="F156" s="169"/>
    </row>
    <row r="157" spans="1:6" x14ac:dyDescent="0.2">
      <c r="A157" s="177" t="s">
        <v>367</v>
      </c>
      <c r="B157" s="24">
        <f>B156-B148</f>
        <v>0.39499999999999957</v>
      </c>
      <c r="C157" s="24">
        <f t="shared" ref="C157:D157" si="7">C156-C148</f>
        <v>2.4750000000000001</v>
      </c>
      <c r="D157" s="178">
        <f t="shared" si="7"/>
        <v>1.4299999999999997</v>
      </c>
      <c r="E157" s="169"/>
      <c r="F157" s="169"/>
    </row>
  </sheetData>
  <mergeCells count="2">
    <mergeCell ref="K3:S3"/>
    <mergeCell ref="K6:S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2D771-45DF-49AF-B4DF-B3770EFF6504}">
  <dimension ref="A1:U157"/>
  <sheetViews>
    <sheetView workbookViewId="0">
      <selection activeCell="B62" sqref="B62"/>
    </sheetView>
  </sheetViews>
  <sheetFormatPr defaultRowHeight="12.75" x14ac:dyDescent="0.2"/>
  <cols>
    <col min="1" max="1" width="35.42578125" style="141" customWidth="1"/>
    <col min="2" max="2" width="9.140625" style="141"/>
    <col min="3" max="4" width="11" style="141" bestFit="1" customWidth="1"/>
    <col min="5" max="5" width="9.140625" style="141"/>
    <col min="6" max="6" width="12" style="141" bestFit="1" customWidth="1"/>
    <col min="7" max="16384" width="9.140625" style="141"/>
  </cols>
  <sheetData>
    <row r="1" spans="1:21" ht="15.75" x14ac:dyDescent="0.25">
      <c r="A1" s="20" t="s">
        <v>101</v>
      </c>
      <c r="B1" s="20" t="s">
        <v>297</v>
      </c>
      <c r="C1" s="20"/>
      <c r="E1" s="21"/>
      <c r="F1" s="20"/>
      <c r="G1" s="20"/>
      <c r="H1" s="21"/>
      <c r="I1" s="21"/>
      <c r="J1" s="20" t="s">
        <v>114</v>
      </c>
      <c r="K1" s="20"/>
      <c r="L1" s="21"/>
      <c r="M1" s="21"/>
      <c r="N1" s="21"/>
      <c r="O1" s="21"/>
      <c r="P1" s="21"/>
      <c r="Q1" s="21"/>
      <c r="R1" s="21"/>
      <c r="S1" s="21"/>
      <c r="T1" s="21"/>
      <c r="U1" s="21"/>
    </row>
    <row r="3" spans="1:21" x14ac:dyDescent="0.2">
      <c r="A3" s="62" t="s">
        <v>104</v>
      </c>
      <c r="C3" s="13">
        <v>1000</v>
      </c>
      <c r="D3" s="139" t="s">
        <v>283</v>
      </c>
      <c r="K3" s="222"/>
      <c r="L3" s="222"/>
      <c r="M3" s="222"/>
      <c r="N3" s="222"/>
      <c r="O3" s="222"/>
      <c r="P3" s="222"/>
      <c r="Q3" s="222"/>
      <c r="R3" s="222"/>
      <c r="S3" s="222"/>
    </row>
    <row r="4" spans="1:21" x14ac:dyDescent="0.2">
      <c r="A4" s="62" t="s">
        <v>4</v>
      </c>
      <c r="C4" s="13">
        <f>Grunduppgifter!C8</f>
        <v>4500</v>
      </c>
      <c r="D4" s="141" t="s">
        <v>113</v>
      </c>
    </row>
    <row r="5" spans="1:21" x14ac:dyDescent="0.2">
      <c r="A5" s="62" t="s">
        <v>96</v>
      </c>
      <c r="C5" s="2">
        <f>Grunduppgifter!D8</f>
        <v>0.95</v>
      </c>
    </row>
    <row r="6" spans="1:21" x14ac:dyDescent="0.2">
      <c r="B6" s="139"/>
      <c r="C6" s="3"/>
      <c r="K6" s="223"/>
      <c r="L6" s="224"/>
      <c r="M6" s="224"/>
      <c r="N6" s="224"/>
      <c r="O6" s="224"/>
      <c r="P6" s="224"/>
      <c r="Q6" s="224"/>
      <c r="R6" s="224"/>
      <c r="S6" s="224"/>
    </row>
    <row r="7" spans="1:21" x14ac:dyDescent="0.2">
      <c r="A7" s="24"/>
      <c r="B7" s="30" t="s">
        <v>122</v>
      </c>
      <c r="C7" s="49" t="s">
        <v>6</v>
      </c>
      <c r="D7" s="49" t="s">
        <v>115</v>
      </c>
      <c r="E7" s="49" t="s">
        <v>7</v>
      </c>
      <c r="F7" s="24"/>
      <c r="G7" s="24"/>
      <c r="H7" s="30" t="s">
        <v>124</v>
      </c>
      <c r="I7" s="140"/>
      <c r="J7" s="3"/>
    </row>
    <row r="8" spans="1:21" x14ac:dyDescent="0.2">
      <c r="A8" s="140" t="s">
        <v>5</v>
      </c>
      <c r="B8" s="3"/>
      <c r="C8" s="10"/>
      <c r="D8" s="10"/>
      <c r="E8" s="10"/>
      <c r="H8" s="3"/>
      <c r="I8" s="3"/>
      <c r="J8" s="3"/>
    </row>
    <row r="9" spans="1:21" x14ac:dyDescent="0.2">
      <c r="A9" s="141" t="s">
        <v>68</v>
      </c>
      <c r="B9" s="139" t="s">
        <v>293</v>
      </c>
      <c r="C9" s="39">
        <f>C4*C5</f>
        <v>4275</v>
      </c>
      <c r="D9" s="106">
        <f>(E66+E71-E10)/C9</f>
        <v>18.668696472874263</v>
      </c>
      <c r="E9" s="13">
        <f>C9*D9</f>
        <v>79808.677421537475</v>
      </c>
      <c r="H9" s="192" t="s">
        <v>116</v>
      </c>
      <c r="J9" s="12"/>
    </row>
    <row r="10" spans="1:21" x14ac:dyDescent="0.2">
      <c r="A10" s="24" t="s">
        <v>61</v>
      </c>
      <c r="B10" s="24"/>
      <c r="C10" s="24">
        <v>0.1</v>
      </c>
      <c r="D10" s="35">
        <f>Grunduppgifter!B61</f>
        <v>5000</v>
      </c>
      <c r="E10" s="26">
        <f>C10*D10</f>
        <v>500</v>
      </c>
      <c r="F10" s="24"/>
      <c r="G10" s="24"/>
      <c r="H10" s="24"/>
      <c r="J10" s="12"/>
    </row>
    <row r="11" spans="1:21" x14ac:dyDescent="0.2">
      <c r="A11" s="140" t="s">
        <v>118</v>
      </c>
      <c r="B11" s="140"/>
      <c r="C11" s="140"/>
      <c r="D11" s="44"/>
      <c r="E11" s="39">
        <f>SUM(E9:E10)</f>
        <v>80308.677421537475</v>
      </c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T11" s="140"/>
      <c r="U11" s="140"/>
    </row>
    <row r="12" spans="1:21" x14ac:dyDescent="0.2">
      <c r="D12" s="4"/>
      <c r="E12" s="9"/>
    </row>
    <row r="13" spans="1:21" x14ac:dyDescent="0.2">
      <c r="A13" s="140" t="s">
        <v>220</v>
      </c>
      <c r="D13" s="4"/>
      <c r="E13" s="9"/>
    </row>
    <row r="14" spans="1:21" x14ac:dyDescent="0.2">
      <c r="A14" s="139" t="s">
        <v>221</v>
      </c>
      <c r="B14" s="141" t="s">
        <v>11</v>
      </c>
      <c r="C14" s="141">
        <f>D89</f>
        <v>23</v>
      </c>
      <c r="D14" s="9">
        <f>Grunduppgifter!B25</f>
        <v>283</v>
      </c>
      <c r="E14" s="13">
        <f t="shared" ref="E14:E33" si="0">C14*D14</f>
        <v>6509</v>
      </c>
      <c r="O14" s="4"/>
      <c r="P14" s="4"/>
    </row>
    <row r="15" spans="1:21" x14ac:dyDescent="0.2">
      <c r="A15" s="139" t="s">
        <v>222</v>
      </c>
      <c r="B15" s="141" t="s">
        <v>11</v>
      </c>
      <c r="C15" s="141">
        <f>C89</f>
        <v>44</v>
      </c>
      <c r="D15" s="9">
        <f>Grunduppgifter!B26</f>
        <v>186</v>
      </c>
      <c r="E15" s="13">
        <f t="shared" si="0"/>
        <v>8184</v>
      </c>
    </row>
    <row r="16" spans="1:21" x14ac:dyDescent="0.2">
      <c r="A16" s="141" t="s">
        <v>69</v>
      </c>
      <c r="B16" s="141" t="s">
        <v>14</v>
      </c>
      <c r="C16" s="141">
        <v>120</v>
      </c>
      <c r="D16" s="13">
        <v>30</v>
      </c>
      <c r="E16" s="13">
        <f t="shared" si="0"/>
        <v>3600</v>
      </c>
      <c r="H16" s="141" t="s">
        <v>142</v>
      </c>
      <c r="J16" s="4"/>
      <c r="M16" s="13"/>
      <c r="N16" s="13"/>
      <c r="O16" s="13"/>
      <c r="P16" s="13"/>
      <c r="Q16" s="13"/>
    </row>
    <row r="17" spans="1:17" x14ac:dyDescent="0.2">
      <c r="A17" s="150" t="str">
        <f>Grunduppgifter!A33</f>
        <v>Fiberduk</v>
      </c>
      <c r="B17" s="141" t="s">
        <v>283</v>
      </c>
      <c r="C17" s="96">
        <v>300</v>
      </c>
      <c r="D17" s="4">
        <f>Grunduppgifter!B33</f>
        <v>1.2</v>
      </c>
      <c r="E17" s="13">
        <f t="shared" si="0"/>
        <v>360</v>
      </c>
      <c r="M17" s="13"/>
      <c r="N17" s="13"/>
      <c r="O17" s="13"/>
      <c r="P17" s="13"/>
      <c r="Q17" s="13"/>
    </row>
    <row r="18" spans="1:17" x14ac:dyDescent="0.2">
      <c r="A18" s="150" t="str">
        <f>Grunduppgifter!A35</f>
        <v>Stallgödsel</v>
      </c>
      <c r="B18" s="141" t="s">
        <v>14</v>
      </c>
      <c r="C18" s="13">
        <v>2000</v>
      </c>
      <c r="D18" s="4">
        <f>Grunduppgifter!B35</f>
        <v>0.2</v>
      </c>
      <c r="E18" s="13">
        <f t="shared" si="0"/>
        <v>400</v>
      </c>
    </row>
    <row r="19" spans="1:17" x14ac:dyDescent="0.2">
      <c r="A19" s="141" t="s">
        <v>67</v>
      </c>
      <c r="C19" s="141">
        <v>1</v>
      </c>
      <c r="D19" s="13">
        <f>Grunduppgifter!B63</f>
        <v>1025.9546363636364</v>
      </c>
      <c r="E19" s="13">
        <f t="shared" si="0"/>
        <v>1025.9546363636364</v>
      </c>
      <c r="H19" s="141" t="s">
        <v>273</v>
      </c>
    </row>
    <row r="20" spans="1:17" x14ac:dyDescent="0.2">
      <c r="A20" s="141" t="s">
        <v>274</v>
      </c>
      <c r="B20" s="166" t="s">
        <v>14</v>
      </c>
      <c r="C20" s="169">
        <f>C134</f>
        <v>20</v>
      </c>
      <c r="D20" s="4">
        <f>E134</f>
        <v>4.6920000000000002</v>
      </c>
      <c r="E20" s="13">
        <f t="shared" si="0"/>
        <v>93.84</v>
      </c>
    </row>
    <row r="21" spans="1:17" x14ac:dyDescent="0.2">
      <c r="A21" s="139" t="s">
        <v>178</v>
      </c>
      <c r="B21" s="166" t="s">
        <v>14</v>
      </c>
      <c r="C21" s="169">
        <f>C138</f>
        <v>0</v>
      </c>
      <c r="D21" s="4">
        <f>E138</f>
        <v>0</v>
      </c>
      <c r="E21" s="13">
        <f t="shared" si="0"/>
        <v>0</v>
      </c>
    </row>
    <row r="22" spans="1:17" x14ac:dyDescent="0.2">
      <c r="A22" s="139" t="s">
        <v>275</v>
      </c>
      <c r="C22" s="169">
        <v>1</v>
      </c>
      <c r="D22" s="4">
        <f>F141</f>
        <v>0</v>
      </c>
      <c r="E22" s="13">
        <f t="shared" si="0"/>
        <v>0</v>
      </c>
    </row>
    <row r="23" spans="1:17" x14ac:dyDescent="0.2">
      <c r="A23" s="141" t="s">
        <v>119</v>
      </c>
      <c r="B23" s="141" t="s">
        <v>11</v>
      </c>
      <c r="C23" s="141">
        <f>SUM(F79:F88)</f>
        <v>4</v>
      </c>
      <c r="D23" s="4">
        <f>Grunduppgifter!B30</f>
        <v>100</v>
      </c>
      <c r="E23" s="13">
        <f t="shared" si="0"/>
        <v>400</v>
      </c>
    </row>
    <row r="24" spans="1:17" x14ac:dyDescent="0.2">
      <c r="A24" s="141" t="s">
        <v>15</v>
      </c>
      <c r="B24" s="141" t="s">
        <v>16</v>
      </c>
      <c r="C24" s="107">
        <v>40</v>
      </c>
      <c r="D24" s="4">
        <f>Grunduppgifter!B31</f>
        <v>0.96</v>
      </c>
      <c r="E24" s="13">
        <f t="shared" si="0"/>
        <v>38.4</v>
      </c>
    </row>
    <row r="25" spans="1:17" x14ac:dyDescent="0.2">
      <c r="A25" s="141" t="s">
        <v>100</v>
      </c>
      <c r="B25" s="141" t="s">
        <v>14</v>
      </c>
      <c r="C25" s="107">
        <v>2</v>
      </c>
      <c r="D25" s="4">
        <f>Grunduppgifter!B32</f>
        <v>25</v>
      </c>
      <c r="E25" s="13">
        <f t="shared" si="0"/>
        <v>50</v>
      </c>
    </row>
    <row r="26" spans="1:17" x14ac:dyDescent="0.2">
      <c r="A26" s="149" t="str">
        <f>Grunduppgifter!A46</f>
        <v>Analyser</v>
      </c>
      <c r="B26" s="141" t="s">
        <v>12</v>
      </c>
      <c r="C26" s="107">
        <v>0.1</v>
      </c>
      <c r="D26" s="4">
        <f>Grunduppgifter!B46</f>
        <v>400</v>
      </c>
      <c r="E26" s="13">
        <f t="shared" si="0"/>
        <v>40</v>
      </c>
    </row>
    <row r="27" spans="1:17" x14ac:dyDescent="0.2">
      <c r="A27" s="29" t="str">
        <f>Grunduppgifter!A69</f>
        <v>Ränta rörelsekapital</v>
      </c>
      <c r="B27" s="24" t="s">
        <v>20</v>
      </c>
      <c r="C27" s="26">
        <f>SUM(E14:E26)</f>
        <v>20701.194636363638</v>
      </c>
      <c r="D27" s="108">
        <f>Grunduppgifter!B69</f>
        <v>0.02</v>
      </c>
      <c r="E27" s="26">
        <f t="shared" si="0"/>
        <v>414.02389272727277</v>
      </c>
      <c r="F27" s="24"/>
      <c r="G27" s="24"/>
      <c r="H27" s="24"/>
    </row>
    <row r="28" spans="1:17" x14ac:dyDescent="0.2">
      <c r="A28" s="140" t="s">
        <v>224</v>
      </c>
      <c r="D28" s="4"/>
      <c r="E28" s="39">
        <f>SUM(E14:E27)</f>
        <v>21115.218529090911</v>
      </c>
    </row>
    <row r="29" spans="1:17" x14ac:dyDescent="0.2">
      <c r="A29" s="140"/>
      <c r="D29" s="4"/>
      <c r="E29" s="39"/>
    </row>
    <row r="30" spans="1:17" x14ac:dyDescent="0.2">
      <c r="A30" s="139" t="s">
        <v>276</v>
      </c>
      <c r="C30" s="141">
        <v>0.1</v>
      </c>
      <c r="D30" s="13">
        <f>'Maskiner 1'!F32</f>
        <v>24747.136173216168</v>
      </c>
      <c r="E30" s="13">
        <f t="shared" si="0"/>
        <v>2474.7136173216168</v>
      </c>
    </row>
    <row r="31" spans="1:17" x14ac:dyDescent="0.2">
      <c r="A31" s="139" t="s">
        <v>225</v>
      </c>
      <c r="C31" s="141">
        <v>0.1</v>
      </c>
      <c r="D31" s="13">
        <f>'Maskiner 1'!K30/2</f>
        <v>7115.6718125290399</v>
      </c>
      <c r="E31" s="13">
        <f t="shared" si="0"/>
        <v>711.56718125290399</v>
      </c>
    </row>
    <row r="32" spans="1:17" x14ac:dyDescent="0.2">
      <c r="A32" s="141" t="s">
        <v>25</v>
      </c>
      <c r="C32" s="141">
        <v>0.1</v>
      </c>
      <c r="D32" s="13">
        <f>Grunduppgifter!B60</f>
        <v>6000</v>
      </c>
      <c r="E32" s="13">
        <f t="shared" si="0"/>
        <v>600</v>
      </c>
    </row>
    <row r="33" spans="1:21" x14ac:dyDescent="0.2">
      <c r="A33" s="29" t="s">
        <v>400</v>
      </c>
      <c r="B33" s="24"/>
      <c r="C33" s="31">
        <f>0.1/Grunduppgifter!B20</f>
        <v>3.3333333333333333E-2</v>
      </c>
      <c r="D33" s="26">
        <f>Grunduppgifter!B64</f>
        <v>4500</v>
      </c>
      <c r="E33" s="26">
        <f t="shared" si="0"/>
        <v>150</v>
      </c>
      <c r="F33" s="24"/>
      <c r="G33" s="24"/>
      <c r="H33" s="24"/>
    </row>
    <row r="34" spans="1:21" x14ac:dyDescent="0.2">
      <c r="A34" s="140" t="s">
        <v>226</v>
      </c>
      <c r="D34" s="4"/>
      <c r="E34" s="13">
        <f>SUM(E30:E33)</f>
        <v>3936.2807985745208</v>
      </c>
    </row>
    <row r="35" spans="1:21" x14ac:dyDescent="0.2">
      <c r="A35" s="140" t="s">
        <v>227</v>
      </c>
      <c r="D35" s="4"/>
      <c r="E35" s="39">
        <f>SUM(E28:E33)</f>
        <v>25051.499327665431</v>
      </c>
    </row>
    <row r="36" spans="1:21" x14ac:dyDescent="0.2">
      <c r="A36" s="140"/>
      <c r="D36" s="4"/>
      <c r="E36" s="13"/>
    </row>
    <row r="37" spans="1:21" x14ac:dyDescent="0.2">
      <c r="A37" s="140" t="s">
        <v>36</v>
      </c>
      <c r="D37" s="4"/>
      <c r="E37" s="13"/>
    </row>
    <row r="38" spans="1:21" x14ac:dyDescent="0.2">
      <c r="A38" s="139" t="s">
        <v>221</v>
      </c>
      <c r="B38" s="141" t="s">
        <v>11</v>
      </c>
      <c r="C38" s="9">
        <f>D91</f>
        <v>15</v>
      </c>
      <c r="D38" s="9">
        <f>Grunduppgifter!B25</f>
        <v>283</v>
      </c>
      <c r="E38" s="13">
        <f>C38*D38</f>
        <v>4245</v>
      </c>
      <c r="H38" s="141" t="s">
        <v>272</v>
      </c>
    </row>
    <row r="39" spans="1:21" x14ac:dyDescent="0.2">
      <c r="A39" s="139" t="s">
        <v>222</v>
      </c>
      <c r="B39" s="141" t="s">
        <v>11</v>
      </c>
      <c r="C39" s="9">
        <f>C91</f>
        <v>135</v>
      </c>
      <c r="D39" s="9">
        <f>Grunduppgifter!B26</f>
        <v>186</v>
      </c>
      <c r="E39" s="13">
        <f>C39*D39</f>
        <v>25110</v>
      </c>
    </row>
    <row r="40" spans="1:21" x14ac:dyDescent="0.2">
      <c r="A40" s="141" t="s">
        <v>228</v>
      </c>
      <c r="C40" s="141">
        <v>0.1</v>
      </c>
      <c r="D40" s="13"/>
      <c r="E40" s="13">
        <f>C40*D40</f>
        <v>0</v>
      </c>
    </row>
    <row r="41" spans="1:21" x14ac:dyDescent="0.2">
      <c r="A41" s="29" t="s">
        <v>229</v>
      </c>
      <c r="B41" s="24" t="s">
        <v>11</v>
      </c>
      <c r="C41" s="26">
        <f>SUM(F91:F93)</f>
        <v>3.75</v>
      </c>
      <c r="D41" s="26">
        <f>Grunduppgifter!B30</f>
        <v>100</v>
      </c>
      <c r="E41" s="26">
        <f>C41*D41</f>
        <v>375</v>
      </c>
      <c r="F41" s="24"/>
      <c r="G41" s="24"/>
      <c r="H41" s="24"/>
    </row>
    <row r="42" spans="1:21" x14ac:dyDescent="0.2">
      <c r="A42" s="140" t="s">
        <v>230</v>
      </c>
      <c r="B42" s="140"/>
      <c r="C42" s="140"/>
      <c r="D42" s="140"/>
      <c r="E42" s="39">
        <f>SUM(E38:E41)</f>
        <v>29730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T42" s="140"/>
      <c r="U42" s="140"/>
    </row>
    <row r="43" spans="1:21" x14ac:dyDescent="0.2">
      <c r="A43" s="140"/>
      <c r="B43" s="140"/>
      <c r="C43" s="140"/>
      <c r="D43" s="140"/>
      <c r="E43" s="39"/>
      <c r="F43" s="140"/>
      <c r="G43" s="140"/>
      <c r="H43" s="140"/>
      <c r="I43" s="140"/>
      <c r="J43" s="140"/>
      <c r="M43" s="4"/>
      <c r="N43" s="4"/>
      <c r="O43" s="4"/>
      <c r="P43" s="4"/>
      <c r="Q43" s="4"/>
      <c r="R43" s="140"/>
      <c r="T43" s="140"/>
      <c r="U43" s="140"/>
    </row>
    <row r="44" spans="1:21" x14ac:dyDescent="0.2">
      <c r="A44" s="140" t="s">
        <v>231</v>
      </c>
      <c r="B44" s="140"/>
      <c r="C44" s="140"/>
      <c r="D44" s="140"/>
      <c r="E44" s="39"/>
      <c r="F44" s="140"/>
      <c r="G44" s="140"/>
      <c r="H44" s="140"/>
      <c r="I44" s="140"/>
      <c r="J44" s="140"/>
      <c r="M44" s="4"/>
      <c r="N44" s="4"/>
      <c r="O44" s="4"/>
      <c r="P44" s="4"/>
      <c r="Q44" s="4"/>
      <c r="R44" s="140"/>
      <c r="T44" s="140"/>
      <c r="U44" s="140"/>
    </row>
    <row r="45" spans="1:21" x14ac:dyDescent="0.2">
      <c r="A45" s="139" t="s">
        <v>232</v>
      </c>
      <c r="B45" s="141" t="s">
        <v>11</v>
      </c>
      <c r="C45" s="141">
        <f>D92</f>
        <v>0</v>
      </c>
      <c r="D45" s="9">
        <f>Grunduppgifter!B25</f>
        <v>283</v>
      </c>
      <c r="E45" s="13">
        <f>C45*D45</f>
        <v>0</v>
      </c>
      <c r="I45" s="140"/>
      <c r="J45" s="140"/>
      <c r="M45" s="4"/>
      <c r="N45" s="4"/>
      <c r="O45" s="4"/>
      <c r="P45" s="4"/>
      <c r="Q45" s="4"/>
      <c r="R45" s="140"/>
      <c r="T45" s="140"/>
      <c r="U45" s="140"/>
    </row>
    <row r="46" spans="1:21" x14ac:dyDescent="0.2">
      <c r="A46" s="139" t="s">
        <v>58</v>
      </c>
      <c r="B46" s="141" t="s">
        <v>16</v>
      </c>
      <c r="C46" s="96">
        <v>0</v>
      </c>
      <c r="D46" s="4">
        <f>Grunduppgifter!B31</f>
        <v>0.96</v>
      </c>
      <c r="E46" s="13">
        <f>D46*C46</f>
        <v>0</v>
      </c>
      <c r="I46" s="140"/>
      <c r="J46" s="140"/>
      <c r="M46" s="4"/>
      <c r="N46" s="4"/>
      <c r="O46" s="4"/>
      <c r="P46" s="4"/>
      <c r="Q46" s="4"/>
      <c r="R46" s="140"/>
      <c r="T46" s="140"/>
      <c r="U46" s="140"/>
    </row>
    <row r="47" spans="1:21" x14ac:dyDescent="0.2">
      <c r="A47" s="141" t="s">
        <v>233</v>
      </c>
      <c r="C47" s="136">
        <v>0</v>
      </c>
      <c r="D47" s="13">
        <f>'Maskiner 1'!K30/2</f>
        <v>7115.6718125290399</v>
      </c>
      <c r="E47" s="13">
        <f>D47*C47</f>
        <v>0</v>
      </c>
      <c r="I47" s="140"/>
      <c r="J47" s="140"/>
      <c r="M47" s="4"/>
      <c r="N47" s="4"/>
      <c r="O47" s="4"/>
      <c r="P47" s="4"/>
      <c r="Q47" s="4"/>
      <c r="R47" s="140"/>
      <c r="T47" s="140"/>
      <c r="U47" s="140"/>
    </row>
    <row r="48" spans="1:21" x14ac:dyDescent="0.2">
      <c r="A48" s="24" t="str">
        <f>Grunduppgifter!A47</f>
        <v>Lagerlådor</v>
      </c>
      <c r="B48" s="27" t="s">
        <v>14</v>
      </c>
      <c r="C48" s="26">
        <v>0</v>
      </c>
      <c r="D48" s="31">
        <f>Grunduppgifter!B47</f>
        <v>0.12</v>
      </c>
      <c r="E48" s="26">
        <f>D48*C48</f>
        <v>0</v>
      </c>
      <c r="F48" s="24"/>
      <c r="G48" s="24"/>
      <c r="H48" s="24"/>
      <c r="I48" s="140"/>
      <c r="J48" s="140"/>
      <c r="M48" s="4"/>
      <c r="N48" s="4"/>
      <c r="O48" s="4"/>
      <c r="P48" s="4"/>
      <c r="Q48" s="4"/>
      <c r="R48" s="140"/>
      <c r="T48" s="140"/>
      <c r="U48" s="140"/>
    </row>
    <row r="49" spans="1:21" x14ac:dyDescent="0.2">
      <c r="A49" s="140" t="s">
        <v>234</v>
      </c>
      <c r="C49" s="13"/>
      <c r="D49" s="4"/>
      <c r="E49" s="39">
        <f>SUM(E45:E48)</f>
        <v>0</v>
      </c>
      <c r="I49" s="140"/>
      <c r="J49" s="140"/>
      <c r="M49" s="4"/>
      <c r="N49" s="4"/>
      <c r="O49" s="4"/>
      <c r="P49" s="4"/>
      <c r="Q49" s="4"/>
      <c r="R49" s="140"/>
      <c r="T49" s="140"/>
      <c r="U49" s="140"/>
    </row>
    <row r="50" spans="1:21" x14ac:dyDescent="0.2">
      <c r="A50" s="139"/>
      <c r="C50" s="13"/>
      <c r="D50" s="4"/>
      <c r="E50" s="13"/>
      <c r="I50" s="140"/>
      <c r="J50" s="140"/>
      <c r="M50" s="4"/>
      <c r="N50" s="4"/>
      <c r="O50" s="4"/>
      <c r="P50" s="4"/>
      <c r="Q50" s="4"/>
      <c r="R50" s="140"/>
      <c r="T50" s="140"/>
      <c r="U50" s="140"/>
    </row>
    <row r="51" spans="1:21" x14ac:dyDescent="0.2">
      <c r="A51" s="140" t="s">
        <v>235</v>
      </c>
      <c r="C51" s="13"/>
      <c r="D51" s="4"/>
      <c r="E51" s="13"/>
      <c r="I51" s="140"/>
      <c r="J51" s="140"/>
      <c r="M51" s="4"/>
      <c r="N51" s="4"/>
      <c r="O51" s="4"/>
      <c r="P51" s="4"/>
      <c r="Q51" s="4"/>
      <c r="R51" s="140"/>
      <c r="T51" s="140"/>
      <c r="U51" s="140"/>
    </row>
    <row r="52" spans="1:21" x14ac:dyDescent="0.2">
      <c r="A52" s="139" t="s">
        <v>221</v>
      </c>
      <c r="B52" s="141" t="s">
        <v>11</v>
      </c>
      <c r="C52" s="141">
        <f>D93</f>
        <v>0</v>
      </c>
      <c r="D52" s="9">
        <f>Grunduppgifter!B25</f>
        <v>283</v>
      </c>
      <c r="E52" s="13">
        <f>C52*D52</f>
        <v>0</v>
      </c>
      <c r="I52" s="140"/>
      <c r="J52" s="140"/>
      <c r="M52" s="4"/>
      <c r="N52" s="4"/>
      <c r="O52" s="4"/>
      <c r="P52" s="4"/>
      <c r="Q52" s="4"/>
      <c r="R52" s="140"/>
      <c r="T52" s="140"/>
      <c r="U52" s="140"/>
    </row>
    <row r="53" spans="1:21" x14ac:dyDescent="0.2">
      <c r="A53" s="139" t="s">
        <v>222</v>
      </c>
      <c r="B53" s="141" t="s">
        <v>11</v>
      </c>
      <c r="C53" s="141">
        <f>C93</f>
        <v>0</v>
      </c>
      <c r="D53" s="9">
        <f>Grunduppgifter!B26</f>
        <v>186</v>
      </c>
      <c r="E53" s="13">
        <f>C53*D53</f>
        <v>0</v>
      </c>
      <c r="I53" s="140"/>
      <c r="J53" s="140"/>
      <c r="M53" s="4"/>
      <c r="N53" s="4"/>
      <c r="O53" s="4"/>
      <c r="P53" s="4"/>
      <c r="Q53" s="4"/>
      <c r="R53" s="140"/>
      <c r="T53" s="140"/>
      <c r="U53" s="140"/>
    </row>
    <row r="54" spans="1:21" x14ac:dyDescent="0.2">
      <c r="A54" s="141" t="s">
        <v>267</v>
      </c>
      <c r="C54" s="141">
        <v>0.1</v>
      </c>
      <c r="D54" s="13"/>
      <c r="E54" s="13">
        <f>C54*D54</f>
        <v>0</v>
      </c>
      <c r="I54" s="140"/>
      <c r="J54" s="140"/>
      <c r="M54" s="4"/>
      <c r="N54" s="4"/>
      <c r="O54" s="4"/>
      <c r="P54" s="4"/>
      <c r="Q54" s="4"/>
      <c r="R54" s="140"/>
      <c r="T54" s="140"/>
      <c r="U54" s="140"/>
    </row>
    <row r="55" spans="1:21" x14ac:dyDescent="0.2">
      <c r="A55" s="139" t="s">
        <v>236</v>
      </c>
      <c r="C55" s="141">
        <v>0.1</v>
      </c>
      <c r="D55" s="13">
        <f>'Maskiner 1'!J30</f>
        <v>6566.3263932658247</v>
      </c>
      <c r="E55" s="13">
        <f>C55*D55</f>
        <v>656.63263932658253</v>
      </c>
      <c r="I55" s="140"/>
      <c r="J55" s="140"/>
      <c r="M55" s="4"/>
      <c r="N55" s="4"/>
      <c r="O55" s="4"/>
      <c r="P55" s="4"/>
      <c r="Q55" s="4"/>
      <c r="R55" s="140"/>
      <c r="T55" s="140"/>
      <c r="U55" s="140"/>
    </row>
    <row r="56" spans="1:21" x14ac:dyDescent="0.2">
      <c r="A56" s="139" t="s">
        <v>237</v>
      </c>
      <c r="B56" s="141" t="s">
        <v>16</v>
      </c>
      <c r="C56" s="96">
        <v>500</v>
      </c>
      <c r="D56" s="4">
        <f>Grunduppgifter!B31</f>
        <v>0.96</v>
      </c>
      <c r="E56" s="13">
        <f>D56*C56</f>
        <v>480</v>
      </c>
      <c r="I56" s="140"/>
      <c r="J56" s="140"/>
      <c r="M56" s="4"/>
      <c r="N56" s="4"/>
      <c r="O56" s="4"/>
      <c r="P56" s="4"/>
      <c r="Q56" s="4"/>
      <c r="R56" s="140"/>
      <c r="T56" s="140"/>
      <c r="U56" s="140"/>
    </row>
    <row r="57" spans="1:21" x14ac:dyDescent="0.2">
      <c r="A57" s="139" t="s">
        <v>268</v>
      </c>
      <c r="B57" s="141" t="s">
        <v>269</v>
      </c>
      <c r="C57" s="13">
        <f>C9</f>
        <v>4275</v>
      </c>
      <c r="D57" s="4">
        <v>0</v>
      </c>
      <c r="E57" s="13">
        <f>C57*D57</f>
        <v>0</v>
      </c>
      <c r="I57" s="140"/>
      <c r="J57" s="140"/>
      <c r="M57" s="4"/>
      <c r="N57" s="4"/>
      <c r="O57" s="4"/>
      <c r="P57" s="4"/>
      <c r="Q57" s="4"/>
      <c r="R57" s="140"/>
      <c r="T57" s="140"/>
      <c r="U57" s="140"/>
    </row>
    <row r="58" spans="1:21" x14ac:dyDescent="0.2">
      <c r="A58" s="29" t="s">
        <v>298</v>
      </c>
      <c r="B58" s="24" t="s">
        <v>120</v>
      </c>
      <c r="C58" s="26">
        <f>C9/15</f>
        <v>285</v>
      </c>
      <c r="D58" s="31">
        <v>1.6</v>
      </c>
      <c r="E58" s="26">
        <f>C58*D58</f>
        <v>456</v>
      </c>
      <c r="F58" s="24"/>
      <c r="G58" s="24"/>
      <c r="H58" s="24"/>
      <c r="I58" s="140"/>
      <c r="J58" s="140"/>
      <c r="M58" s="4"/>
      <c r="N58" s="4"/>
      <c r="O58" s="4"/>
      <c r="P58" s="4"/>
      <c r="Q58" s="4"/>
      <c r="R58" s="140"/>
      <c r="T58" s="140"/>
      <c r="U58" s="140"/>
    </row>
    <row r="59" spans="1:21" x14ac:dyDescent="0.2">
      <c r="A59" s="140" t="s">
        <v>238</v>
      </c>
      <c r="C59" s="13"/>
      <c r="D59" s="4"/>
      <c r="E59" s="39">
        <f>SUM(E52:E58)</f>
        <v>1592.6326393265826</v>
      </c>
      <c r="I59" s="140"/>
      <c r="J59" s="140"/>
      <c r="M59" s="4"/>
      <c r="N59" s="4"/>
      <c r="O59" s="4"/>
      <c r="P59" s="4"/>
      <c r="Q59" s="4"/>
      <c r="R59" s="140"/>
      <c r="T59" s="140"/>
      <c r="U59" s="140"/>
    </row>
    <row r="60" spans="1:21" x14ac:dyDescent="0.2">
      <c r="A60" s="139"/>
      <c r="C60" s="13"/>
      <c r="D60" s="4"/>
      <c r="E60" s="13"/>
      <c r="I60" s="140"/>
      <c r="J60" s="140"/>
      <c r="M60" s="4"/>
      <c r="N60" s="4"/>
      <c r="O60" s="4"/>
      <c r="P60" s="4"/>
      <c r="Q60" s="4"/>
      <c r="R60" s="140"/>
      <c r="T60" s="140"/>
      <c r="U60" s="140"/>
    </row>
    <row r="61" spans="1:21" x14ac:dyDescent="0.2">
      <c r="A61" s="140" t="s">
        <v>131</v>
      </c>
      <c r="C61" s="13"/>
      <c r="D61" s="4"/>
      <c r="E61" s="13"/>
      <c r="I61" s="140"/>
      <c r="J61" s="140"/>
      <c r="M61" s="4"/>
      <c r="N61" s="4"/>
      <c r="O61" s="4"/>
      <c r="P61" s="4"/>
      <c r="Q61" s="4"/>
      <c r="R61" s="140"/>
      <c r="T61" s="140"/>
      <c r="U61" s="140"/>
    </row>
    <row r="62" spans="1:21" x14ac:dyDescent="0.2">
      <c r="A62" s="141" t="s">
        <v>19</v>
      </c>
      <c r="B62" s="139"/>
      <c r="C62" s="13">
        <v>1</v>
      </c>
      <c r="D62" s="9">
        <f>Grunduppgifter!B58</f>
        <v>1500</v>
      </c>
      <c r="E62" s="13">
        <f>C62*D62</f>
        <v>1500</v>
      </c>
      <c r="F62" s="13"/>
      <c r="H62" s="141" t="s">
        <v>139</v>
      </c>
      <c r="I62" s="140"/>
      <c r="J62" s="140"/>
      <c r="M62" s="4"/>
      <c r="N62" s="4"/>
      <c r="O62" s="4"/>
      <c r="P62" s="4"/>
      <c r="Q62" s="4"/>
      <c r="R62" s="140"/>
      <c r="T62" s="140"/>
      <c r="U62" s="140"/>
    </row>
    <row r="63" spans="1:21" x14ac:dyDescent="0.2">
      <c r="A63" s="24" t="s">
        <v>134</v>
      </c>
      <c r="B63" s="109" t="s">
        <v>11</v>
      </c>
      <c r="C63" s="26">
        <f>D94</f>
        <v>60</v>
      </c>
      <c r="D63" s="26">
        <f>Grunduppgifter!B25</f>
        <v>283</v>
      </c>
      <c r="E63" s="26">
        <f>C63*D63</f>
        <v>16980</v>
      </c>
      <c r="F63" s="26"/>
      <c r="G63" s="24"/>
      <c r="H63" s="24" t="s">
        <v>139</v>
      </c>
      <c r="I63" s="140"/>
      <c r="J63" s="140"/>
      <c r="M63" s="4"/>
      <c r="N63" s="4"/>
      <c r="O63" s="4"/>
      <c r="P63" s="4"/>
      <c r="Q63" s="4"/>
      <c r="R63" s="140"/>
      <c r="T63" s="140"/>
      <c r="U63" s="140"/>
    </row>
    <row r="64" spans="1:21" x14ac:dyDescent="0.2">
      <c r="A64" s="140" t="s">
        <v>239</v>
      </c>
      <c r="B64" s="140"/>
      <c r="C64" s="140"/>
      <c r="D64" s="140"/>
      <c r="E64" s="39">
        <f>SUM(E62:E63)</f>
        <v>18480</v>
      </c>
      <c r="F64" s="140"/>
      <c r="G64" s="140"/>
      <c r="H64" s="140"/>
      <c r="I64" s="140"/>
      <c r="J64" s="140"/>
      <c r="M64" s="4"/>
      <c r="N64" s="4"/>
      <c r="O64" s="4"/>
      <c r="P64" s="4"/>
      <c r="Q64" s="4"/>
      <c r="R64" s="140"/>
      <c r="T64" s="140"/>
      <c r="U64" s="140"/>
    </row>
    <row r="65" spans="1:21" x14ac:dyDescent="0.2">
      <c r="A65" s="30"/>
      <c r="B65" s="24"/>
      <c r="C65" s="24"/>
      <c r="D65" s="24"/>
      <c r="E65" s="26"/>
      <c r="F65" s="24"/>
      <c r="G65" s="24"/>
      <c r="H65" s="24"/>
      <c r="S65" s="140"/>
    </row>
    <row r="66" spans="1:21" x14ac:dyDescent="0.2">
      <c r="A66" s="140" t="s">
        <v>240</v>
      </c>
      <c r="B66" s="46"/>
      <c r="C66" s="46"/>
      <c r="D66" s="46"/>
      <c r="E66" s="110">
        <f>E35+E42+E49+E59+E64</f>
        <v>74854.131966992019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140"/>
      <c r="T66" s="46"/>
      <c r="U66" s="46"/>
    </row>
    <row r="67" spans="1:21" x14ac:dyDescent="0.2">
      <c r="A67" s="46"/>
      <c r="E67" s="13"/>
      <c r="S67" s="140"/>
    </row>
    <row r="68" spans="1:21" x14ac:dyDescent="0.2">
      <c r="A68" s="140" t="s">
        <v>241</v>
      </c>
      <c r="E68" s="9"/>
    </row>
    <row r="69" spans="1:21" x14ac:dyDescent="0.2">
      <c r="A69" s="141" t="s">
        <v>121</v>
      </c>
      <c r="C69" s="141">
        <v>0.1</v>
      </c>
      <c r="D69" s="13">
        <f>Grunduppgifter!B67/(Grunduppgifter!B21+0.05*(Grunduppgifter!B20-Grunduppgifter!B21))</f>
        <v>27272.727272727272</v>
      </c>
      <c r="E69" s="13">
        <f>C69*D69</f>
        <v>2727.2727272727275</v>
      </c>
    </row>
    <row r="70" spans="1:21" x14ac:dyDescent="0.2">
      <c r="A70" s="24" t="s">
        <v>215</v>
      </c>
      <c r="B70" s="24"/>
      <c r="C70" s="24">
        <v>0.1</v>
      </c>
      <c r="D70" s="26">
        <f>Grunduppgifter!B68/(Grunduppgifter!B21+0.05*(Grunduppgifter!B20-Grunduppgifter!B21))</f>
        <v>27272.727272727272</v>
      </c>
      <c r="E70" s="26">
        <f>C70*D70</f>
        <v>2727.2727272727275</v>
      </c>
      <c r="F70" s="24"/>
      <c r="G70" s="24"/>
      <c r="H70" s="24"/>
      <c r="R70" s="140"/>
    </row>
    <row r="71" spans="1:21" x14ac:dyDescent="0.2">
      <c r="A71" s="140" t="s">
        <v>242</v>
      </c>
      <c r="B71" s="140"/>
      <c r="C71" s="140"/>
      <c r="D71" s="39"/>
      <c r="E71" s="39">
        <f>SUM(E69:E70)</f>
        <v>5454.545454545455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T71" s="140"/>
      <c r="U71" s="140"/>
    </row>
    <row r="72" spans="1:21" x14ac:dyDescent="0.2">
      <c r="A72" s="46"/>
      <c r="D72" s="13"/>
      <c r="E72" s="13"/>
      <c r="R72" s="140"/>
      <c r="S72" s="139"/>
    </row>
    <row r="73" spans="1:21" x14ac:dyDescent="0.2">
      <c r="A73" s="30" t="s">
        <v>0</v>
      </c>
      <c r="B73" s="24"/>
      <c r="C73" s="24"/>
      <c r="D73" s="24"/>
      <c r="E73" s="52">
        <f>E11-E66-E71</f>
        <v>0</v>
      </c>
      <c r="F73" s="24"/>
      <c r="G73" s="24"/>
      <c r="H73" s="24"/>
      <c r="S73" s="140"/>
    </row>
    <row r="74" spans="1:21" x14ac:dyDescent="0.2">
      <c r="A74" s="140"/>
      <c r="E74" s="9"/>
      <c r="S74" s="140"/>
    </row>
    <row r="75" spans="1:21" x14ac:dyDescent="0.2">
      <c r="A75" s="140"/>
    </row>
    <row r="76" spans="1:21" ht="15.75" x14ac:dyDescent="0.25">
      <c r="A76" s="53" t="s">
        <v>243</v>
      </c>
      <c r="B76" s="24"/>
      <c r="C76" s="24"/>
      <c r="D76" s="24"/>
      <c r="E76" s="24"/>
      <c r="F76" s="24"/>
      <c r="G76" s="24"/>
      <c r="H76" s="24"/>
    </row>
    <row r="77" spans="1:21" x14ac:dyDescent="0.2">
      <c r="A77" s="140"/>
      <c r="B77" s="111"/>
      <c r="C77" s="133" t="s">
        <v>244</v>
      </c>
      <c r="D77" s="133" t="s">
        <v>245</v>
      </c>
      <c r="E77" s="111"/>
      <c r="F77" s="133" t="s">
        <v>29</v>
      </c>
      <c r="G77" s="50"/>
      <c r="H77" s="140" t="s">
        <v>30</v>
      </c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</row>
    <row r="78" spans="1:21" x14ac:dyDescent="0.2">
      <c r="A78" s="30" t="s">
        <v>27</v>
      </c>
      <c r="B78" s="30"/>
      <c r="C78" s="134" t="s">
        <v>284</v>
      </c>
      <c r="D78" s="134" t="s">
        <v>284</v>
      </c>
      <c r="E78" s="112"/>
      <c r="F78" s="134" t="s">
        <v>284</v>
      </c>
      <c r="G78" s="49"/>
      <c r="H78" s="3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</row>
    <row r="79" spans="1:21" x14ac:dyDescent="0.2">
      <c r="A79" s="141" t="s">
        <v>82</v>
      </c>
      <c r="D79" s="141">
        <v>2</v>
      </c>
      <c r="F79" s="141">
        <v>2</v>
      </c>
    </row>
    <row r="80" spans="1:21" x14ac:dyDescent="0.2">
      <c r="A80" s="141" t="s">
        <v>33</v>
      </c>
      <c r="D80" s="141">
        <v>2</v>
      </c>
      <c r="F80" s="141">
        <v>2</v>
      </c>
    </row>
    <row r="81" spans="1:21" x14ac:dyDescent="0.2">
      <c r="A81" s="141" t="s">
        <v>70</v>
      </c>
      <c r="C81" s="141">
        <f>30000/1200*8/10</f>
        <v>20</v>
      </c>
      <c r="D81" s="9">
        <f>30000/1200*2/10</f>
        <v>5</v>
      </c>
      <c r="F81" s="141">
        <v>0</v>
      </c>
      <c r="H81" s="141" t="s">
        <v>403</v>
      </c>
    </row>
    <row r="82" spans="1:21" x14ac:dyDescent="0.2">
      <c r="A82" s="141" t="s">
        <v>247</v>
      </c>
      <c r="D82" s="141">
        <v>3</v>
      </c>
      <c r="F82" s="141">
        <v>0</v>
      </c>
    </row>
    <row r="83" spans="1:21" x14ac:dyDescent="0.2">
      <c r="A83" s="141" t="s">
        <v>34</v>
      </c>
      <c r="D83" s="141">
        <v>4</v>
      </c>
      <c r="F83" s="141">
        <v>0</v>
      </c>
      <c r="H83" s="141" t="s">
        <v>66</v>
      </c>
    </row>
    <row r="84" spans="1:21" x14ac:dyDescent="0.2">
      <c r="A84" s="141" t="s">
        <v>88</v>
      </c>
      <c r="D84" s="141">
        <v>0</v>
      </c>
      <c r="F84" s="141">
        <v>0</v>
      </c>
    </row>
    <row r="85" spans="1:21" x14ac:dyDescent="0.2">
      <c r="A85" s="141" t="s">
        <v>64</v>
      </c>
      <c r="D85" s="141">
        <v>3</v>
      </c>
      <c r="F85" s="141">
        <v>0</v>
      </c>
      <c r="H85" s="141" t="s">
        <v>277</v>
      </c>
    </row>
    <row r="86" spans="1:21" x14ac:dyDescent="0.2">
      <c r="A86" s="141" t="s">
        <v>404</v>
      </c>
      <c r="C86" s="141">
        <v>5</v>
      </c>
      <c r="D86" s="141">
        <v>1</v>
      </c>
      <c r="F86" s="141">
        <v>0</v>
      </c>
      <c r="H86" s="139" t="s">
        <v>126</v>
      </c>
      <c r="I86" s="139"/>
    </row>
    <row r="87" spans="1:21" x14ac:dyDescent="0.2">
      <c r="A87" s="141" t="s">
        <v>35</v>
      </c>
      <c r="C87" s="141">
        <v>19</v>
      </c>
      <c r="D87" s="141">
        <v>1</v>
      </c>
      <c r="F87" s="141">
        <v>0</v>
      </c>
      <c r="H87" s="139"/>
    </row>
    <row r="88" spans="1:21" x14ac:dyDescent="0.2">
      <c r="A88" s="24" t="s">
        <v>127</v>
      </c>
      <c r="B88" s="24"/>
      <c r="C88" s="24"/>
      <c r="D88" s="24">
        <v>2</v>
      </c>
      <c r="E88" s="24"/>
      <c r="F88" s="24">
        <v>0</v>
      </c>
      <c r="G88" s="24"/>
      <c r="H88" s="24"/>
    </row>
    <row r="89" spans="1:21" x14ac:dyDescent="0.2">
      <c r="A89" s="139" t="s">
        <v>249</v>
      </c>
      <c r="C89" s="141">
        <f>SUM(C79:C88)</f>
        <v>44</v>
      </c>
      <c r="D89" s="9">
        <f>SUM(D79:D88)</f>
        <v>23</v>
      </c>
      <c r="F89" s="141">
        <f>SUM(F79:F88)</f>
        <v>4</v>
      </c>
    </row>
    <row r="91" spans="1:21" x14ac:dyDescent="0.2">
      <c r="A91" s="139" t="s">
        <v>250</v>
      </c>
      <c r="C91" s="9">
        <f>(0.2*C4/30+0.8*C4/30)*9/10</f>
        <v>135</v>
      </c>
      <c r="D91" s="9">
        <f>(0.2*C4/30+0.8*C4/30)*1/10</f>
        <v>15</v>
      </c>
      <c r="F91" s="9">
        <f>D91/4</f>
        <v>3.75</v>
      </c>
      <c r="H91" s="141" t="s">
        <v>401</v>
      </c>
    </row>
    <row r="92" spans="1:21" x14ac:dyDescent="0.2">
      <c r="A92" s="139" t="s">
        <v>231</v>
      </c>
      <c r="D92" s="141">
        <v>0</v>
      </c>
    </row>
    <row r="93" spans="1:21" x14ac:dyDescent="0.2">
      <c r="A93" s="22" t="s">
        <v>128</v>
      </c>
      <c r="B93" s="22"/>
      <c r="C93" s="22"/>
      <c r="D93" s="22"/>
      <c r="E93" s="22"/>
      <c r="F93" s="22">
        <v>0</v>
      </c>
      <c r="G93" s="22"/>
      <c r="H93" s="195"/>
    </row>
    <row r="94" spans="1:21" s="194" customFormat="1" x14ac:dyDescent="0.2">
      <c r="A94" s="60" t="s">
        <v>259</v>
      </c>
      <c r="B94" s="24"/>
      <c r="C94" s="24"/>
      <c r="D94" s="24">
        <f>Grunduppgifter!B27</f>
        <v>60</v>
      </c>
      <c r="E94" s="24"/>
      <c r="F94" s="24"/>
      <c r="G94" s="24"/>
      <c r="H94" s="29"/>
    </row>
    <row r="95" spans="1:21" x14ac:dyDescent="0.2">
      <c r="A95" s="140" t="s">
        <v>251</v>
      </c>
      <c r="B95" s="140"/>
      <c r="C95" s="45">
        <f>SUM(C89:C94)</f>
        <v>179</v>
      </c>
      <c r="D95" s="45">
        <f>SUM(D89:D94)</f>
        <v>98</v>
      </c>
      <c r="E95" s="140"/>
      <c r="F95" s="45">
        <f>SUM(F89:F94)</f>
        <v>7.75</v>
      </c>
      <c r="G95" s="140"/>
      <c r="H95" s="45">
        <f>SUM(B95:D95)</f>
        <v>277</v>
      </c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</row>
    <row r="96" spans="1:21" x14ac:dyDescent="0.2">
      <c r="A96" s="140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</row>
    <row r="98" spans="1:8" ht="25.5" x14ac:dyDescent="0.25">
      <c r="A98" s="53" t="s">
        <v>132</v>
      </c>
      <c r="B98" s="114"/>
      <c r="C98" s="115" t="s">
        <v>252</v>
      </c>
      <c r="D98" s="115" t="s">
        <v>253</v>
      </c>
    </row>
    <row r="99" spans="1:8" x14ac:dyDescent="0.2">
      <c r="A99" s="141" t="s">
        <v>278</v>
      </c>
      <c r="B99" s="116"/>
      <c r="C99" s="116">
        <f>(E28-E10)/C9</f>
        <v>4.8222733401382252</v>
      </c>
      <c r="D99" s="116">
        <f t="shared" ref="D99:D104" si="1">C99+$C$105*C99/($C$106-$C$105)</f>
        <v>5.1760305346906881</v>
      </c>
    </row>
    <row r="100" spans="1:8" x14ac:dyDescent="0.2">
      <c r="A100" s="141" t="s">
        <v>254</v>
      </c>
      <c r="B100" s="116"/>
      <c r="C100" s="116">
        <f>E34/C9</f>
        <v>0.92076743826304575</v>
      </c>
      <c r="D100" s="116">
        <f t="shared" si="1"/>
        <v>0.98831402528124579</v>
      </c>
    </row>
    <row r="101" spans="1:8" x14ac:dyDescent="0.2">
      <c r="A101" s="141" t="s">
        <v>36</v>
      </c>
      <c r="B101" s="116"/>
      <c r="C101" s="116">
        <f>E42/C9</f>
        <v>6.954385964912281</v>
      </c>
      <c r="D101" s="116">
        <f t="shared" si="1"/>
        <v>7.4645528292219412</v>
      </c>
    </row>
    <row r="102" spans="1:8" x14ac:dyDescent="0.2">
      <c r="A102" s="141" t="s">
        <v>231</v>
      </c>
      <c r="B102" s="116"/>
      <c r="C102" s="116">
        <f>E49/C9</f>
        <v>0</v>
      </c>
      <c r="D102" s="116">
        <f t="shared" si="1"/>
        <v>0</v>
      </c>
    </row>
    <row r="103" spans="1:8" x14ac:dyDescent="0.2">
      <c r="A103" s="141" t="s">
        <v>235</v>
      </c>
      <c r="B103" s="116"/>
      <c r="C103" s="116">
        <f>E59/C9</f>
        <v>0.37254564662610118</v>
      </c>
      <c r="D103" s="116">
        <f t="shared" si="1"/>
        <v>0.39987522616200633</v>
      </c>
    </row>
    <row r="104" spans="1:8" x14ac:dyDescent="0.2">
      <c r="A104" s="141" t="s">
        <v>131</v>
      </c>
      <c r="B104" s="116"/>
      <c r="C104" s="116">
        <f>E64/C9</f>
        <v>4.3228070175438598</v>
      </c>
      <c r="D104" s="116">
        <f t="shared" si="1"/>
        <v>4.6399238575183812</v>
      </c>
    </row>
    <row r="105" spans="1:8" x14ac:dyDescent="0.2">
      <c r="A105" s="24" t="s">
        <v>241</v>
      </c>
      <c r="B105" s="117"/>
      <c r="C105" s="117">
        <f>E71/C9</f>
        <v>1.2759170653907497</v>
      </c>
      <c r="D105" s="117"/>
    </row>
    <row r="106" spans="1:8" x14ac:dyDescent="0.2">
      <c r="B106" s="113"/>
      <c r="C106" s="113">
        <f>SUM(C99:C105)</f>
        <v>18.668696472874263</v>
      </c>
      <c r="D106" s="113">
        <f>SUM(D99:D105)</f>
        <v>18.668696472874259</v>
      </c>
    </row>
    <row r="107" spans="1:8" x14ac:dyDescent="0.2">
      <c r="B107" s="116"/>
    </row>
    <row r="109" spans="1:8" x14ac:dyDescent="0.2">
      <c r="A109" s="58" t="s">
        <v>255</v>
      </c>
      <c r="B109" s="58"/>
      <c r="C109" s="118">
        <v>-0.5</v>
      </c>
      <c r="D109" s="118">
        <v>-0.25</v>
      </c>
      <c r="E109" s="58">
        <v>0</v>
      </c>
      <c r="F109" s="118">
        <v>0.25</v>
      </c>
      <c r="G109" s="118">
        <v>0.5</v>
      </c>
    </row>
    <row r="110" spans="1:8" x14ac:dyDescent="0.2">
      <c r="A110" s="141" t="s">
        <v>256</v>
      </c>
      <c r="B110" s="141" t="s">
        <v>246</v>
      </c>
      <c r="C110" s="9">
        <f>($C$95+$D$95)*(1+C109)</f>
        <v>138.5</v>
      </c>
      <c r="D110" s="9">
        <f>($C$95+$D$95)*(1+D109)</f>
        <v>207.75</v>
      </c>
      <c r="E110" s="9">
        <f>($C$95+$D$95)*(1+E109)</f>
        <v>277</v>
      </c>
      <c r="F110" s="9">
        <f>($C$95+$D$95)*(1+F109)</f>
        <v>346.25</v>
      </c>
      <c r="G110" s="9">
        <f>($C$95+$D$95)*(1+G109)</f>
        <v>415.5</v>
      </c>
    </row>
    <row r="111" spans="1:8" x14ac:dyDescent="0.2">
      <c r="A111" s="24" t="s">
        <v>116</v>
      </c>
      <c r="B111" s="24" t="s">
        <v>133</v>
      </c>
      <c r="C111" s="31">
        <f>($E$66+$E$71-$E$10+C109*($E$14+$E$15+$E$38+$E$39+$E$45+$E$52+$E$53))/$C$9</f>
        <v>13.516883607377187</v>
      </c>
      <c r="D111" s="31">
        <f>($E$66+$E$71-$E$10+D109*($E$14+$E$15+$E$38+$E$39+$E$45+$E$52+$E$53))/$C$9</f>
        <v>16.092790040125724</v>
      </c>
      <c r="E111" s="31">
        <f>($E$66+$E$71-$E$10+E109*($E$14+$E$15+$E$38+$E$39+$E$45+$E$52+$E$53))/$C$9</f>
        <v>18.668696472874263</v>
      </c>
      <c r="F111" s="31">
        <f>($E$66+$E$71-$E$10+F109*($E$14+$E$15+$E$38+$E$39+$E$45+$E$52+$E$53))/$C$9</f>
        <v>21.244602905622802</v>
      </c>
      <c r="G111" s="31">
        <f>($E$66+$E$71-$E$10+G109*($E$14+$E$15+$E$38+$E$39+$E$45+$E$52+$E$53))/$C$9</f>
        <v>23.820509338371338</v>
      </c>
      <c r="H111" s="140"/>
    </row>
    <row r="114" spans="1:8" x14ac:dyDescent="0.2">
      <c r="A114" s="30" t="s">
        <v>255</v>
      </c>
      <c r="B114" s="30"/>
      <c r="C114" s="119">
        <v>-0.5</v>
      </c>
      <c r="D114" s="119">
        <v>-0.25</v>
      </c>
      <c r="E114" s="30">
        <v>0</v>
      </c>
      <c r="F114" s="119">
        <v>0.25</v>
      </c>
      <c r="G114" s="119">
        <v>0.5</v>
      </c>
    </row>
    <row r="115" spans="1:8" x14ac:dyDescent="0.2">
      <c r="A115" s="141" t="s">
        <v>4</v>
      </c>
      <c r="B115" s="141" t="s">
        <v>257</v>
      </c>
      <c r="C115" s="137">
        <f>$C$9/1000*(1+C114)</f>
        <v>2.1375000000000002</v>
      </c>
      <c r="D115" s="137">
        <f>$C$9/1000*(1+D114)</f>
        <v>3.2062500000000003</v>
      </c>
      <c r="E115" s="137">
        <f>$C$9/1000*(1+E114)</f>
        <v>4.2750000000000004</v>
      </c>
      <c r="F115" s="137">
        <f>$C$9/1000*(1+F114)</f>
        <v>5.34375</v>
      </c>
      <c r="G115" s="137">
        <f>$C$9/1000*(1+G114)</f>
        <v>6.4125000000000005</v>
      </c>
    </row>
    <row r="116" spans="1:8" x14ac:dyDescent="0.2">
      <c r="A116" s="141" t="s">
        <v>220</v>
      </c>
      <c r="B116" s="141" t="s">
        <v>202</v>
      </c>
      <c r="C116" s="13">
        <f>$E$35</f>
        <v>25051.499327665431</v>
      </c>
      <c r="D116" s="13">
        <f>$E$35</f>
        <v>25051.499327665431</v>
      </c>
      <c r="E116" s="13">
        <f>$E$35</f>
        <v>25051.499327665431</v>
      </c>
      <c r="F116" s="13">
        <f>$E$35</f>
        <v>25051.499327665431</v>
      </c>
      <c r="G116" s="13">
        <f>$E$35</f>
        <v>25051.499327665431</v>
      </c>
    </row>
    <row r="117" spans="1:8" x14ac:dyDescent="0.2">
      <c r="A117" s="141" t="s">
        <v>258</v>
      </c>
      <c r="B117" s="141" t="s">
        <v>202</v>
      </c>
      <c r="C117" s="13">
        <f>((0.2*$C$4/30+0.8*$C$4*(1+C114)/30)*9/10*Grunduppgifter!$B$26)+((0.2*$C$4/30+0.8*$C$4*(1+C114)/30)*1/10*Grunduppgifter!$B$25)+((0.2*$C$4/30/40+0.8*$C$4*(1+C114)/30/40)*Grunduppgifter!$B$30)</f>
        <v>17838</v>
      </c>
      <c r="D117" s="13">
        <f>((0.2*$C$4/30+0.8*$C$4*(1+D114)/30)*9/10*Grunduppgifter!$B$26)+((0.2*$C$4/30+0.8*$C$4*(1+D114)/30)*1/10*Grunduppgifter!$B$25)+((0.2*$C$4/30/40+0.8*$C$4*(1+D114)/30/40)*Grunduppgifter!$B$30)</f>
        <v>23784</v>
      </c>
      <c r="E117" s="13">
        <f>((0.2*$C$4/30+0.8*$C$4*(1+E114)/30)*9/10*Grunduppgifter!$B$26)+((0.2*$C$4/30+0.8*$C$4*(1+E114)/30)*1/10*Grunduppgifter!$B$25)+((0.2*$C$4/30/40+0.8*$C$4*(1+E114)/30/40)*Grunduppgifter!$B$30)</f>
        <v>29730</v>
      </c>
      <c r="F117" s="13">
        <f>((0.2*$C$4/30+0.8*$C$4*(1+F114)/30)*9/10*Grunduppgifter!$B$26)+((0.2*$C$4/30+0.8*$C$4*(1+F114)/30)*1/10*Grunduppgifter!$B$25)+((0.2*$C$4/30/40+0.8*$C$4*(1+F114)/30/40)*Grunduppgifter!$B$30)</f>
        <v>35676</v>
      </c>
      <c r="G117" s="13">
        <f>((0.2*$C$4/30+0.8*$C$4*(1+G114)/30)*9/10*Grunduppgifter!$B$26)+((0.2*$C$4/30+0.8*$C$4*(1+G114)/30)*1/10*Grunduppgifter!$B$25)+((0.2*$C$4/30/40+0.8*$C$4*(1+G114)/30/40)*Grunduppgifter!$B$30)</f>
        <v>41622</v>
      </c>
      <c r="H117" s="142"/>
    </row>
    <row r="118" spans="1:8" x14ac:dyDescent="0.2">
      <c r="A118" s="141" t="s">
        <v>228</v>
      </c>
      <c r="B118" s="141" t="s">
        <v>202</v>
      </c>
      <c r="C118" s="13">
        <f>$E$40</f>
        <v>0</v>
      </c>
      <c r="D118" s="13">
        <f>$E$40</f>
        <v>0</v>
      </c>
      <c r="E118" s="13">
        <f>$E$40</f>
        <v>0</v>
      </c>
      <c r="F118" s="13">
        <f>$E$40</f>
        <v>0</v>
      </c>
      <c r="G118" s="13">
        <f>$E$40</f>
        <v>0</v>
      </c>
    </row>
    <row r="119" spans="1:8" x14ac:dyDescent="0.2">
      <c r="A119" s="141" t="s">
        <v>231</v>
      </c>
      <c r="B119" s="141" t="s">
        <v>202</v>
      </c>
      <c r="C119" s="13">
        <f>$E$47+($E$45+$E$46+$E$48)*(1+C114)</f>
        <v>0</v>
      </c>
      <c r="D119" s="13">
        <f>$E$47+($E$45+$E$46+$E$48)*(1+D114)</f>
        <v>0</v>
      </c>
      <c r="E119" s="13">
        <f>$E$47+($E$45+$E$46+$E$48)*(1+E114)</f>
        <v>0</v>
      </c>
      <c r="F119" s="13">
        <f>$E$47+($E$45+$E$46+$E$48)*(1+F114)</f>
        <v>0</v>
      </c>
      <c r="G119" s="13">
        <f>$E$47+($E$45+$E$46+$E$48)*(1+G114)</f>
        <v>0</v>
      </c>
    </row>
    <row r="120" spans="1:8" x14ac:dyDescent="0.2">
      <c r="A120" s="141" t="s">
        <v>235</v>
      </c>
      <c r="B120" s="141" t="s">
        <v>202</v>
      </c>
      <c r="C120" s="13">
        <f t="shared" ref="C120:D120" si="2">$E$54+$E$55+$E$56+($E$52+$E$53+$E$57+$E$58)*(1+C114)</f>
        <v>1364.6326393265826</v>
      </c>
      <c r="D120" s="13">
        <f t="shared" si="2"/>
        <v>1478.6326393265826</v>
      </c>
      <c r="E120" s="13">
        <f>$E$54+$E$55+$E$56+($E$52+$E$53+$E$57+$E$58)*(1+E114)</f>
        <v>1592.6326393265826</v>
      </c>
      <c r="F120" s="13">
        <f t="shared" ref="F120:G120" si="3">$E$54+$E$55+$E$56+($E$52+$E$53+$E$57+$E$58)*(1+F114)</f>
        <v>1706.6326393265826</v>
      </c>
      <c r="G120" s="13">
        <f t="shared" si="3"/>
        <v>1820.6326393265826</v>
      </c>
    </row>
    <row r="121" spans="1:8" x14ac:dyDescent="0.2">
      <c r="A121" s="141" t="s">
        <v>259</v>
      </c>
      <c r="B121" s="141" t="s">
        <v>202</v>
      </c>
      <c r="C121" s="13">
        <f t="shared" ref="C121:D121" si="4">0.2*$E$64+0.8*$E$64*(1+C114)</f>
        <v>11088</v>
      </c>
      <c r="D121" s="13">
        <f t="shared" si="4"/>
        <v>14784</v>
      </c>
      <c r="E121" s="13">
        <f>0.2*$E$64+0.8*$E$64*(1+E114)</f>
        <v>18480</v>
      </c>
      <c r="F121" s="13">
        <f t="shared" ref="F121:G121" si="5">0.2*$E$64+0.8*$E$64*(1+F114)</f>
        <v>22176</v>
      </c>
      <c r="G121" s="13">
        <f t="shared" si="5"/>
        <v>25872</v>
      </c>
    </row>
    <row r="122" spans="1:8" x14ac:dyDescent="0.2">
      <c r="A122" s="141" t="s">
        <v>260</v>
      </c>
      <c r="B122" s="141" t="s">
        <v>202</v>
      </c>
      <c r="C122" s="13">
        <f>SUM(C117:C121)</f>
        <v>30290.632639326584</v>
      </c>
      <c r="D122" s="13">
        <f>SUM(D117:D121)</f>
        <v>40046.632639326584</v>
      </c>
      <c r="E122" s="13">
        <f>SUM(E117:E121)</f>
        <v>49802.632639326584</v>
      </c>
      <c r="F122" s="13">
        <f>SUM(F117:F121)</f>
        <v>59558.632639326584</v>
      </c>
      <c r="G122" s="13">
        <f>SUM(G117:G121)</f>
        <v>69314.632639326592</v>
      </c>
    </row>
    <row r="123" spans="1:8" x14ac:dyDescent="0.2">
      <c r="A123" s="141" t="s">
        <v>121</v>
      </c>
      <c r="B123" s="141" t="s">
        <v>202</v>
      </c>
      <c r="C123" s="13">
        <f>$E$71</f>
        <v>5454.545454545455</v>
      </c>
      <c r="D123" s="13">
        <f>$E$71</f>
        <v>5454.545454545455</v>
      </c>
      <c r="E123" s="13">
        <f>$E$71</f>
        <v>5454.545454545455</v>
      </c>
      <c r="F123" s="13">
        <f>$E$71</f>
        <v>5454.545454545455</v>
      </c>
      <c r="G123" s="13">
        <f>$E$71</f>
        <v>5454.545454545455</v>
      </c>
    </row>
    <row r="124" spans="1:8" x14ac:dyDescent="0.2">
      <c r="A124" s="141" t="s">
        <v>261</v>
      </c>
      <c r="B124" s="141" t="s">
        <v>202</v>
      </c>
      <c r="C124" s="13">
        <f>C116+C122+C123</f>
        <v>60796.677421537475</v>
      </c>
      <c r="D124" s="13">
        <f>D116+D122+D123</f>
        <v>70552.677421537475</v>
      </c>
      <c r="E124" s="13">
        <f>E116+E122+E123</f>
        <v>80308.677421537475</v>
      </c>
      <c r="F124" s="13">
        <f>F116+F122+F123</f>
        <v>90064.677421537475</v>
      </c>
      <c r="G124" s="13">
        <f>G116+G122+G123</f>
        <v>99820.677421537475</v>
      </c>
    </row>
    <row r="125" spans="1:8" x14ac:dyDescent="0.2">
      <c r="A125" s="24" t="s">
        <v>116</v>
      </c>
      <c r="B125" s="24" t="s">
        <v>133</v>
      </c>
      <c r="C125" s="31">
        <f>(C124-$E$10)/C115/1000</f>
        <v>28.208971893116946</v>
      </c>
      <c r="D125" s="31">
        <f>(D124-$E$10)/D115/1000</f>
        <v>21.848788279621822</v>
      </c>
      <c r="E125" s="31">
        <f>(E124-$E$10)/E115/1000</f>
        <v>18.668696472874259</v>
      </c>
      <c r="F125" s="31">
        <f>(F124-$E$10)/F115/1000</f>
        <v>16.760641388825725</v>
      </c>
      <c r="G125" s="31">
        <f>(G124-$E$10)/G115/1000</f>
        <v>15.488604666126701</v>
      </c>
    </row>
    <row r="128" spans="1:8" x14ac:dyDescent="0.2">
      <c r="A128" s="172" t="s">
        <v>262</v>
      </c>
      <c r="B128" s="121"/>
      <c r="C128" s="121"/>
      <c r="D128" s="121"/>
      <c r="E128" s="121"/>
      <c r="F128" s="122"/>
    </row>
    <row r="129" spans="1:6" ht="25.5" x14ac:dyDescent="0.2">
      <c r="A129" s="123"/>
      <c r="B129" s="169"/>
      <c r="C129" s="124" t="s">
        <v>263</v>
      </c>
      <c r="D129" s="124" t="s">
        <v>223</v>
      </c>
      <c r="E129" s="124" t="s">
        <v>115</v>
      </c>
      <c r="F129" s="125" t="s">
        <v>264</v>
      </c>
    </row>
    <row r="130" spans="1:6" x14ac:dyDescent="0.2">
      <c r="A130" s="173" t="s">
        <v>274</v>
      </c>
      <c r="B130" s="169"/>
      <c r="C130" s="169"/>
      <c r="D130" s="169"/>
      <c r="E130" s="169"/>
      <c r="F130" s="127"/>
    </row>
    <row r="131" spans="1:6" x14ac:dyDescent="0.2">
      <c r="A131" s="123" t="str">
        <f>Grunduppgifter!A36</f>
        <v xml:space="preserve">Biofer 10-3-1 </v>
      </c>
      <c r="B131" s="168" t="s">
        <v>14</v>
      </c>
      <c r="C131" s="169">
        <f>Grunduppgifter!D88</f>
        <v>20</v>
      </c>
      <c r="D131" s="169"/>
      <c r="E131" s="4">
        <f>Grunduppgifter!B36</f>
        <v>3.91</v>
      </c>
      <c r="F131" s="151">
        <f>C131*E131*(1+Grunduppgifter!$B$49)</f>
        <v>93.84</v>
      </c>
    </row>
    <row r="132" spans="1:6" x14ac:dyDescent="0.2">
      <c r="A132" s="123" t="str">
        <f>Grunduppgifter!A37</f>
        <v>Biofer 9-3-4</v>
      </c>
      <c r="B132" s="168" t="s">
        <v>14</v>
      </c>
      <c r="C132" s="169">
        <f>Grunduppgifter!D89</f>
        <v>0</v>
      </c>
      <c r="D132" s="169"/>
      <c r="E132" s="4">
        <f>Grunduppgifter!B37</f>
        <v>4.16</v>
      </c>
      <c r="F132" s="151">
        <f>C132*E132*(1+Grunduppgifter!$B$49)</f>
        <v>0</v>
      </c>
    </row>
    <row r="133" spans="1:6" x14ac:dyDescent="0.2">
      <c r="A133" s="123" t="str">
        <f>Grunduppgifter!A38</f>
        <v xml:space="preserve">Biofer 6-3-12 </v>
      </c>
      <c r="B133" s="168" t="s">
        <v>14</v>
      </c>
      <c r="C133" s="24">
        <f>Grunduppgifter!D90</f>
        <v>0</v>
      </c>
      <c r="D133" s="169"/>
      <c r="E133" s="31">
        <f>Grunduppgifter!B38</f>
        <v>5.1100000000000003</v>
      </c>
      <c r="F133" s="131">
        <f>C133*E133*(1+Grunduppgifter!$B$49)</f>
        <v>0</v>
      </c>
    </row>
    <row r="134" spans="1:6" x14ac:dyDescent="0.2">
      <c r="A134" s="130" t="s">
        <v>279</v>
      </c>
      <c r="B134" s="169"/>
      <c r="C134" s="169">
        <f>SUM(C131:C133)</f>
        <v>20</v>
      </c>
      <c r="D134" s="169"/>
      <c r="E134" s="4">
        <f>IF(C134=0,0,F134/C134)</f>
        <v>4.6920000000000002</v>
      </c>
      <c r="F134" s="128">
        <f>SUM(F131:F133)</f>
        <v>93.84</v>
      </c>
    </row>
    <row r="135" spans="1:6" x14ac:dyDescent="0.2">
      <c r="A135" s="123"/>
      <c r="B135" s="169"/>
      <c r="C135" s="169"/>
      <c r="D135" s="169"/>
      <c r="E135" s="4"/>
      <c r="F135" s="128"/>
    </row>
    <row r="136" spans="1:6" x14ac:dyDescent="0.2">
      <c r="A136" s="173" t="s">
        <v>178</v>
      </c>
      <c r="B136" s="169"/>
      <c r="C136" s="169"/>
      <c r="D136" s="169"/>
      <c r="E136" s="4"/>
      <c r="F136" s="128"/>
    </row>
    <row r="137" spans="1:6" x14ac:dyDescent="0.2">
      <c r="A137" s="123" t="s">
        <v>177</v>
      </c>
      <c r="B137" s="168" t="s">
        <v>14</v>
      </c>
      <c r="C137" s="24">
        <f>Grunduppgifter!D85</f>
        <v>0</v>
      </c>
      <c r="D137" s="169"/>
      <c r="E137" s="31">
        <f>Grunduppgifter!B39</f>
        <v>4.5599999999999996</v>
      </c>
      <c r="F137" s="131">
        <f>C137*E137*(1+Grunduppgifter!$B$49)</f>
        <v>0</v>
      </c>
    </row>
    <row r="138" spans="1:6" x14ac:dyDescent="0.2">
      <c r="A138" s="130" t="s">
        <v>280</v>
      </c>
      <c r="B138" s="169"/>
      <c r="C138" s="169">
        <f>SUM(C137)</f>
        <v>0</v>
      </c>
      <c r="D138" s="169"/>
      <c r="E138" s="4">
        <f>IF(C138=0,0,F138/C138)</f>
        <v>0</v>
      </c>
      <c r="F138" s="128">
        <f>SUM(F137:F137)</f>
        <v>0</v>
      </c>
    </row>
    <row r="139" spans="1:6" x14ac:dyDescent="0.2">
      <c r="A139" s="123"/>
      <c r="B139" s="169"/>
      <c r="C139" s="169"/>
      <c r="D139" s="169"/>
      <c r="E139" s="169"/>
      <c r="F139" s="127"/>
    </row>
    <row r="140" spans="1:6" x14ac:dyDescent="0.2">
      <c r="A140" s="123"/>
      <c r="B140" s="169"/>
      <c r="C140" s="169"/>
      <c r="D140" s="169"/>
      <c r="E140" s="169"/>
      <c r="F140" s="127"/>
    </row>
    <row r="141" spans="1:6" x14ac:dyDescent="0.2">
      <c r="A141" s="173" t="s">
        <v>275</v>
      </c>
      <c r="B141" s="169"/>
      <c r="C141" s="169"/>
      <c r="D141" s="169"/>
      <c r="E141" s="169"/>
      <c r="F141" s="127"/>
    </row>
    <row r="142" spans="1:6" x14ac:dyDescent="0.2">
      <c r="A142" s="130"/>
      <c r="B142" s="168" t="s">
        <v>59</v>
      </c>
      <c r="C142" s="169"/>
      <c r="D142" s="169"/>
      <c r="E142" s="169"/>
      <c r="F142" s="131"/>
    </row>
    <row r="143" spans="1:6" x14ac:dyDescent="0.2">
      <c r="A143" s="132" t="s">
        <v>281</v>
      </c>
      <c r="B143" s="24"/>
      <c r="C143" s="24"/>
      <c r="D143" s="24"/>
      <c r="E143" s="24"/>
      <c r="F143" s="131">
        <f>SUM(F142)</f>
        <v>0</v>
      </c>
    </row>
    <row r="144" spans="1:6" x14ac:dyDescent="0.2">
      <c r="A144" s="169"/>
      <c r="B144" s="169"/>
      <c r="C144" s="169"/>
      <c r="D144" s="169"/>
      <c r="E144" s="169"/>
      <c r="F144" s="169"/>
    </row>
    <row r="145" spans="1:6" x14ac:dyDescent="0.2">
      <c r="A145" s="169"/>
      <c r="B145" s="169"/>
      <c r="C145" s="169"/>
      <c r="D145" s="169"/>
      <c r="E145" s="169"/>
      <c r="F145" s="169"/>
    </row>
    <row r="146" spans="1:6" x14ac:dyDescent="0.2">
      <c r="A146" s="174" t="s">
        <v>360</v>
      </c>
      <c r="B146" s="175" t="s">
        <v>354</v>
      </c>
      <c r="C146" s="175" t="s">
        <v>355</v>
      </c>
      <c r="D146" s="176" t="s">
        <v>356</v>
      </c>
      <c r="E146" s="169"/>
      <c r="F146" s="169"/>
    </row>
    <row r="147" spans="1:6" x14ac:dyDescent="0.2">
      <c r="A147" s="130" t="s">
        <v>361</v>
      </c>
      <c r="B147" s="169">
        <v>1.8</v>
      </c>
      <c r="C147" s="169">
        <v>0.3</v>
      </c>
      <c r="D147" s="127">
        <v>1.6</v>
      </c>
      <c r="E147" s="169"/>
      <c r="F147" s="169"/>
    </row>
    <row r="148" spans="1:6" x14ac:dyDescent="0.2">
      <c r="A148" s="173" t="s">
        <v>362</v>
      </c>
      <c r="B148" s="169">
        <f>$C$4*B147/1000/2</f>
        <v>4.05</v>
      </c>
      <c r="C148" s="169">
        <f>$C$4*C147/1000/2</f>
        <v>0.67500000000000004</v>
      </c>
      <c r="D148" s="127">
        <f>$C$4*D147/1000/2</f>
        <v>3.6</v>
      </c>
      <c r="E148" s="169"/>
      <c r="F148" s="169"/>
    </row>
    <row r="149" spans="1:6" x14ac:dyDescent="0.2">
      <c r="A149" s="173" t="s">
        <v>363</v>
      </c>
      <c r="B149" s="169"/>
      <c r="C149" s="169"/>
      <c r="D149" s="127"/>
      <c r="E149" s="169"/>
      <c r="F149" s="169"/>
    </row>
    <row r="150" spans="1:6" x14ac:dyDescent="0.2">
      <c r="A150" s="123" t="str">
        <f>A18</f>
        <v>Stallgödsel</v>
      </c>
      <c r="B150" s="169">
        <f>C18*Grunduppgifter!B74</f>
        <v>2</v>
      </c>
      <c r="C150" s="169">
        <f>C18*Grunduppgifter!B75</f>
        <v>3</v>
      </c>
      <c r="D150" s="127">
        <f>C18*Grunduppgifter!B76</f>
        <v>10</v>
      </c>
      <c r="E150" s="169"/>
      <c r="F150" s="169"/>
    </row>
    <row r="151" spans="1:6" x14ac:dyDescent="0.2">
      <c r="A151" s="123" t="str">
        <f>Grunduppgifter!A36</f>
        <v xml:space="preserve">Biofer 10-3-1 </v>
      </c>
      <c r="B151" s="169">
        <f>Grunduppgifter!I74*C131</f>
        <v>2.02</v>
      </c>
      <c r="C151" s="169">
        <f>Grunduppgifter!I75*C131</f>
        <v>0.6</v>
      </c>
      <c r="D151" s="127">
        <f>Grunduppgifter!I76*C131</f>
        <v>0.18</v>
      </c>
      <c r="E151" s="169"/>
      <c r="F151" s="169"/>
    </row>
    <row r="152" spans="1:6" x14ac:dyDescent="0.2">
      <c r="A152" s="123" t="str">
        <f>Grunduppgifter!A37</f>
        <v>Biofer 9-3-4</v>
      </c>
      <c r="B152" s="169">
        <f>Grunduppgifter!J74*C132</f>
        <v>0</v>
      </c>
      <c r="C152" s="169">
        <f>Grunduppgifter!J75*C132</f>
        <v>0</v>
      </c>
      <c r="D152" s="127">
        <f>Grunduppgifter!J76*C132</f>
        <v>0</v>
      </c>
      <c r="E152" s="169"/>
      <c r="F152" s="169"/>
    </row>
    <row r="153" spans="1:6" x14ac:dyDescent="0.2">
      <c r="A153" s="123" t="str">
        <f>Grunduppgifter!A38</f>
        <v xml:space="preserve">Biofer 6-3-12 </v>
      </c>
      <c r="B153" s="169">
        <f>Grunduppgifter!K74*C133</f>
        <v>0</v>
      </c>
      <c r="C153" s="169">
        <f>Grunduppgifter!K75*C133</f>
        <v>0</v>
      </c>
      <c r="D153" s="127">
        <f>Grunduppgifter!K76*C133</f>
        <v>0</v>
      </c>
      <c r="E153" s="169"/>
      <c r="F153" s="169"/>
    </row>
    <row r="154" spans="1:6" x14ac:dyDescent="0.2">
      <c r="A154" s="123" t="str">
        <f>A137</f>
        <v>Kalimagnesia 25-6</v>
      </c>
      <c r="B154" s="169"/>
      <c r="C154" s="169"/>
      <c r="D154" s="127">
        <f>Grunduppgifter!F76*C137</f>
        <v>0</v>
      </c>
      <c r="E154" s="169"/>
      <c r="F154" s="169"/>
    </row>
    <row r="155" spans="1:6" x14ac:dyDescent="0.2">
      <c r="A155" s="123" t="s">
        <v>365</v>
      </c>
      <c r="B155" s="169">
        <f>'Gröngödsling 1'!C6*Grunduppgifter!D91</f>
        <v>2</v>
      </c>
      <c r="C155" s="169"/>
      <c r="D155" s="127"/>
      <c r="E155" s="169"/>
      <c r="F155" s="169"/>
    </row>
    <row r="156" spans="1:6" x14ac:dyDescent="0.2">
      <c r="A156" s="123" t="s">
        <v>366</v>
      </c>
      <c r="B156" s="169">
        <f>SUM(B150:B155)</f>
        <v>6.02</v>
      </c>
      <c r="C156" s="169">
        <f t="shared" ref="C156:D156" si="6">SUM(C150:C155)</f>
        <v>3.6</v>
      </c>
      <c r="D156" s="127">
        <f t="shared" si="6"/>
        <v>10.18</v>
      </c>
      <c r="E156" s="169"/>
      <c r="F156" s="169"/>
    </row>
    <row r="157" spans="1:6" x14ac:dyDescent="0.2">
      <c r="A157" s="177" t="s">
        <v>367</v>
      </c>
      <c r="B157" s="24">
        <f>B156-B148</f>
        <v>1.9699999999999998</v>
      </c>
      <c r="C157" s="24">
        <f t="shared" ref="C157:D157" si="7">C156-C148</f>
        <v>2.9249999999999998</v>
      </c>
      <c r="D157" s="178">
        <f t="shared" si="7"/>
        <v>6.58</v>
      </c>
      <c r="E157" s="169"/>
      <c r="F157" s="169"/>
    </row>
  </sheetData>
  <mergeCells count="2">
    <mergeCell ref="K3:S3"/>
    <mergeCell ref="K6:S6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DC1BA-7606-4902-8BEE-84BC268B5A14}">
  <dimension ref="A1:U157"/>
  <sheetViews>
    <sheetView workbookViewId="0">
      <selection activeCell="C63" sqref="C63"/>
    </sheetView>
  </sheetViews>
  <sheetFormatPr defaultRowHeight="12.75" x14ac:dyDescent="0.2"/>
  <cols>
    <col min="1" max="1" width="35.42578125" style="145" customWidth="1"/>
    <col min="2" max="2" width="9.140625" style="145"/>
    <col min="3" max="4" width="12" style="145" bestFit="1" customWidth="1"/>
    <col min="5" max="5" width="11" style="145" bestFit="1" customWidth="1"/>
    <col min="6" max="6" width="12" style="145" bestFit="1" customWidth="1"/>
    <col min="7" max="7" width="11" style="145" bestFit="1" customWidth="1"/>
    <col min="8" max="8" width="9.140625" style="145"/>
    <col min="9" max="9" width="12" style="145" bestFit="1" customWidth="1"/>
    <col min="10" max="16384" width="9.140625" style="145"/>
  </cols>
  <sheetData>
    <row r="1" spans="1:21" ht="15.75" x14ac:dyDescent="0.25">
      <c r="A1" s="20" t="s">
        <v>219</v>
      </c>
      <c r="B1" s="20" t="s">
        <v>151</v>
      </c>
      <c r="C1" s="20"/>
      <c r="D1" s="20" t="s">
        <v>114</v>
      </c>
      <c r="E1" s="21"/>
      <c r="F1" s="20"/>
      <c r="G1" s="20"/>
      <c r="H1" s="21"/>
      <c r="I1" s="21"/>
      <c r="J1" s="21"/>
      <c r="K1" s="20" t="s">
        <v>282</v>
      </c>
      <c r="L1" s="21"/>
      <c r="M1" s="21"/>
      <c r="N1" s="21"/>
      <c r="O1" s="21"/>
      <c r="P1" s="21"/>
      <c r="Q1" s="21"/>
      <c r="R1" s="21"/>
      <c r="S1" s="21"/>
      <c r="T1" s="21"/>
      <c r="U1" s="21"/>
    </row>
    <row r="3" spans="1:21" x14ac:dyDescent="0.2">
      <c r="A3" s="62" t="s">
        <v>104</v>
      </c>
      <c r="C3" s="13">
        <v>1000</v>
      </c>
      <c r="D3" s="143" t="s">
        <v>283</v>
      </c>
      <c r="K3" s="222"/>
      <c r="L3" s="222"/>
      <c r="M3" s="222"/>
      <c r="N3" s="222"/>
      <c r="O3" s="222"/>
      <c r="P3" s="222"/>
      <c r="Q3" s="222"/>
      <c r="R3" s="222"/>
      <c r="S3" s="222"/>
    </row>
    <row r="4" spans="1:21" x14ac:dyDescent="0.2">
      <c r="A4" s="62" t="s">
        <v>4</v>
      </c>
      <c r="C4" s="13">
        <f>Grunduppgifter!C9</f>
        <v>5000</v>
      </c>
      <c r="D4" s="143" t="s">
        <v>271</v>
      </c>
    </row>
    <row r="5" spans="1:21" x14ac:dyDescent="0.2">
      <c r="A5" s="62" t="s">
        <v>96</v>
      </c>
      <c r="C5" s="2">
        <f>Grunduppgifter!D9</f>
        <v>0.8</v>
      </c>
    </row>
    <row r="6" spans="1:21" x14ac:dyDescent="0.2">
      <c r="B6" s="143"/>
      <c r="C6" s="3"/>
      <c r="K6" s="223"/>
      <c r="L6" s="224"/>
      <c r="M6" s="224"/>
      <c r="N6" s="224"/>
      <c r="O6" s="224"/>
      <c r="P6" s="224"/>
      <c r="Q6" s="224"/>
      <c r="R6" s="224"/>
      <c r="S6" s="224"/>
    </row>
    <row r="7" spans="1:21" x14ac:dyDescent="0.2">
      <c r="A7" s="24"/>
      <c r="B7" s="30" t="s">
        <v>122</v>
      </c>
      <c r="C7" s="49" t="s">
        <v>6</v>
      </c>
      <c r="D7" s="49" t="s">
        <v>115</v>
      </c>
      <c r="E7" s="49" t="s">
        <v>7</v>
      </c>
      <c r="F7" s="24"/>
      <c r="G7" s="24"/>
      <c r="H7" s="30" t="s">
        <v>124</v>
      </c>
      <c r="I7" s="144"/>
      <c r="J7" s="3"/>
    </row>
    <row r="8" spans="1:21" x14ac:dyDescent="0.2">
      <c r="A8" s="144" t="s">
        <v>5</v>
      </c>
      <c r="B8" s="3"/>
      <c r="C8" s="10"/>
      <c r="D8" s="10"/>
      <c r="E8" s="10"/>
      <c r="H8" s="3"/>
      <c r="I8" s="3"/>
      <c r="J8" s="3"/>
    </row>
    <row r="9" spans="1:21" x14ac:dyDescent="0.2">
      <c r="A9" s="145" t="s">
        <v>68</v>
      </c>
      <c r="B9" s="145" t="s">
        <v>14</v>
      </c>
      <c r="C9" s="39">
        <f>C4*C5</f>
        <v>4000</v>
      </c>
      <c r="D9" s="106">
        <f>(E66+E71-E10)/C9</f>
        <v>17.232908772919814</v>
      </c>
      <c r="E9" s="13">
        <f>C9*D9</f>
        <v>68931.635091679258</v>
      </c>
      <c r="H9" s="192" t="s">
        <v>116</v>
      </c>
      <c r="J9" s="12"/>
    </row>
    <row r="10" spans="1:21" x14ac:dyDescent="0.2">
      <c r="A10" s="24" t="s">
        <v>61</v>
      </c>
      <c r="B10" s="24"/>
      <c r="C10" s="24">
        <v>0.1</v>
      </c>
      <c r="D10" s="35">
        <f>Grunduppgifter!B61</f>
        <v>5000</v>
      </c>
      <c r="E10" s="26">
        <f>C10*D10</f>
        <v>500</v>
      </c>
      <c r="F10" s="24"/>
      <c r="G10" s="24"/>
      <c r="H10" s="24"/>
      <c r="J10" s="12"/>
    </row>
    <row r="11" spans="1:21" x14ac:dyDescent="0.2">
      <c r="A11" s="144" t="s">
        <v>118</v>
      </c>
      <c r="B11" s="144"/>
      <c r="C11" s="144"/>
      <c r="D11" s="44"/>
      <c r="E11" s="39">
        <f>SUM(E9:E10)</f>
        <v>69431.635091679258</v>
      </c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T11" s="144"/>
      <c r="U11" s="144"/>
    </row>
    <row r="12" spans="1:21" x14ac:dyDescent="0.2">
      <c r="D12" s="4"/>
      <c r="E12" s="9"/>
    </row>
    <row r="13" spans="1:21" x14ac:dyDescent="0.2">
      <c r="A13" s="144" t="s">
        <v>220</v>
      </c>
      <c r="D13" s="4"/>
      <c r="E13" s="9"/>
    </row>
    <row r="14" spans="1:21" x14ac:dyDescent="0.2">
      <c r="A14" s="143" t="s">
        <v>221</v>
      </c>
      <c r="B14" s="145" t="s">
        <v>11</v>
      </c>
      <c r="C14" s="14">
        <f>D89</f>
        <v>18.333333333333336</v>
      </c>
      <c r="D14" s="9">
        <f>Grunduppgifter!B25</f>
        <v>283</v>
      </c>
      <c r="E14" s="13">
        <f t="shared" ref="E14:E33" si="0">C14*D14</f>
        <v>5188.3333333333339</v>
      </c>
      <c r="H14" s="145" t="s">
        <v>272</v>
      </c>
      <c r="O14" s="4"/>
      <c r="P14" s="4"/>
    </row>
    <row r="15" spans="1:21" x14ac:dyDescent="0.2">
      <c r="A15" s="143" t="s">
        <v>222</v>
      </c>
      <c r="B15" s="145" t="s">
        <v>11</v>
      </c>
      <c r="C15" s="14">
        <f>C89</f>
        <v>39.333333333333336</v>
      </c>
      <c r="D15" s="9">
        <f>Grunduppgifter!B26</f>
        <v>186</v>
      </c>
      <c r="E15" s="13">
        <f t="shared" si="0"/>
        <v>7316</v>
      </c>
      <c r="H15" s="145" t="s">
        <v>272</v>
      </c>
    </row>
    <row r="16" spans="1:21" x14ac:dyDescent="0.2">
      <c r="A16" s="145" t="s">
        <v>69</v>
      </c>
      <c r="B16" s="145" t="s">
        <v>14</v>
      </c>
      <c r="C16" s="145">
        <v>120</v>
      </c>
      <c r="D16" s="9">
        <v>30</v>
      </c>
      <c r="E16" s="13">
        <f t="shared" si="0"/>
        <v>3600</v>
      </c>
      <c r="H16" s="145" t="s">
        <v>407</v>
      </c>
      <c r="J16" s="4"/>
      <c r="M16" s="13"/>
      <c r="N16" s="13"/>
      <c r="O16" s="13"/>
      <c r="P16" s="13"/>
      <c r="Q16" s="13"/>
    </row>
    <row r="17" spans="1:17" x14ac:dyDescent="0.2">
      <c r="A17" s="150" t="str">
        <f>Grunduppgifter!A33</f>
        <v>Fiberduk</v>
      </c>
      <c r="B17" s="145" t="s">
        <v>283</v>
      </c>
      <c r="C17" s="96">
        <v>0</v>
      </c>
      <c r="D17" s="4">
        <f>Grunduppgifter!B33</f>
        <v>1.2</v>
      </c>
      <c r="E17" s="13">
        <f t="shared" si="0"/>
        <v>0</v>
      </c>
      <c r="M17" s="13"/>
      <c r="N17" s="13"/>
      <c r="O17" s="13"/>
      <c r="P17" s="13"/>
      <c r="Q17" s="13"/>
    </row>
    <row r="18" spans="1:17" x14ac:dyDescent="0.2">
      <c r="A18" s="150" t="str">
        <f>Grunduppgifter!A35</f>
        <v>Stallgödsel</v>
      </c>
      <c r="B18" s="145" t="s">
        <v>14</v>
      </c>
      <c r="C18" s="13">
        <f>Grunduppgifter!E81</f>
        <v>2000</v>
      </c>
      <c r="D18" s="4">
        <f>Grunduppgifter!B35</f>
        <v>0.2</v>
      </c>
      <c r="E18" s="13">
        <f t="shared" si="0"/>
        <v>400</v>
      </c>
    </row>
    <row r="19" spans="1:17" x14ac:dyDescent="0.2">
      <c r="A19" s="145" t="s">
        <v>67</v>
      </c>
      <c r="C19" s="145">
        <v>1</v>
      </c>
      <c r="D19" s="13">
        <f>Grunduppgifter!B63</f>
        <v>1025.9546363636364</v>
      </c>
      <c r="E19" s="13">
        <f t="shared" si="0"/>
        <v>1025.9546363636364</v>
      </c>
      <c r="H19" s="145" t="s">
        <v>273</v>
      </c>
    </row>
    <row r="20" spans="1:17" x14ac:dyDescent="0.2">
      <c r="A20" s="145" t="s">
        <v>274</v>
      </c>
      <c r="C20" s="169">
        <f>C134</f>
        <v>50</v>
      </c>
      <c r="D20" s="4">
        <f>E134</f>
        <v>4.6920000000000002</v>
      </c>
      <c r="E20" s="13">
        <f t="shared" si="0"/>
        <v>234.60000000000002</v>
      </c>
    </row>
    <row r="21" spans="1:17" x14ac:dyDescent="0.2">
      <c r="A21" s="143" t="s">
        <v>178</v>
      </c>
      <c r="C21" s="169">
        <f>C138</f>
        <v>10</v>
      </c>
      <c r="D21" s="4">
        <f>E138</f>
        <v>5.4719999999999995</v>
      </c>
      <c r="E21" s="13">
        <f t="shared" si="0"/>
        <v>54.72</v>
      </c>
    </row>
    <row r="22" spans="1:17" x14ac:dyDescent="0.2">
      <c r="A22" s="143" t="s">
        <v>275</v>
      </c>
      <c r="C22" s="169">
        <v>1</v>
      </c>
      <c r="D22" s="4">
        <f>F141</f>
        <v>0</v>
      </c>
      <c r="E22" s="13">
        <f t="shared" si="0"/>
        <v>0</v>
      </c>
    </row>
    <row r="23" spans="1:17" x14ac:dyDescent="0.2">
      <c r="A23" s="145" t="s">
        <v>119</v>
      </c>
      <c r="B23" s="145" t="s">
        <v>11</v>
      </c>
      <c r="C23" s="145">
        <f>SUM(F79:F88)</f>
        <v>4</v>
      </c>
      <c r="D23" s="4">
        <f>Grunduppgifter!B30</f>
        <v>100</v>
      </c>
      <c r="E23" s="13">
        <f t="shared" si="0"/>
        <v>400</v>
      </c>
    </row>
    <row r="24" spans="1:17" x14ac:dyDescent="0.2">
      <c r="A24" s="145" t="s">
        <v>15</v>
      </c>
      <c r="B24" s="145" t="s">
        <v>16</v>
      </c>
      <c r="C24" s="107">
        <v>100</v>
      </c>
      <c r="D24" s="4">
        <f>Grunduppgifter!B31</f>
        <v>0.96</v>
      </c>
      <c r="E24" s="13">
        <f t="shared" si="0"/>
        <v>96</v>
      </c>
    </row>
    <row r="25" spans="1:17" x14ac:dyDescent="0.2">
      <c r="A25" s="145" t="s">
        <v>100</v>
      </c>
      <c r="B25" s="145" t="s">
        <v>14</v>
      </c>
      <c r="C25" s="107">
        <v>2</v>
      </c>
      <c r="D25" s="4">
        <f>Grunduppgifter!B32</f>
        <v>25</v>
      </c>
      <c r="E25" s="13">
        <f t="shared" si="0"/>
        <v>50</v>
      </c>
    </row>
    <row r="26" spans="1:17" x14ac:dyDescent="0.2">
      <c r="A26" s="149" t="str">
        <f>Grunduppgifter!A46</f>
        <v>Analyser</v>
      </c>
      <c r="B26" s="145" t="s">
        <v>12</v>
      </c>
      <c r="C26" s="107">
        <v>0.1</v>
      </c>
      <c r="D26" s="4">
        <f>Grunduppgifter!B46</f>
        <v>400</v>
      </c>
      <c r="E26" s="13">
        <f t="shared" si="0"/>
        <v>40</v>
      </c>
    </row>
    <row r="27" spans="1:17" x14ac:dyDescent="0.2">
      <c r="A27" s="29" t="str">
        <f>Grunduppgifter!A69</f>
        <v>Ränta rörelsekapital</v>
      </c>
      <c r="B27" s="24" t="s">
        <v>20</v>
      </c>
      <c r="C27" s="26">
        <f>SUM(E14:E26)</f>
        <v>18405.607969696972</v>
      </c>
      <c r="D27" s="108">
        <f>Grunduppgifter!B69</f>
        <v>0.02</v>
      </c>
      <c r="E27" s="26">
        <f t="shared" si="0"/>
        <v>368.11215939393946</v>
      </c>
      <c r="F27" s="24"/>
      <c r="G27" s="24"/>
      <c r="H27" s="24"/>
    </row>
    <row r="28" spans="1:17" x14ac:dyDescent="0.2">
      <c r="A28" s="144" t="s">
        <v>224</v>
      </c>
      <c r="D28" s="4"/>
      <c r="E28" s="39">
        <f>SUM(E14:E27)</f>
        <v>18773.720129090911</v>
      </c>
    </row>
    <row r="29" spans="1:17" x14ac:dyDescent="0.2">
      <c r="A29" s="144"/>
      <c r="D29" s="4"/>
      <c r="E29" s="39"/>
    </row>
    <row r="30" spans="1:17" x14ac:dyDescent="0.2">
      <c r="A30" s="143" t="s">
        <v>276</v>
      </c>
      <c r="C30" s="145">
        <v>0.1</v>
      </c>
      <c r="D30" s="13">
        <f>'Maskiner 1'!F32</f>
        <v>24747.136173216168</v>
      </c>
      <c r="E30" s="13">
        <f t="shared" si="0"/>
        <v>2474.7136173216168</v>
      </c>
    </row>
    <row r="31" spans="1:17" x14ac:dyDescent="0.2">
      <c r="A31" s="143" t="s">
        <v>225</v>
      </c>
      <c r="C31" s="145">
        <v>0.1</v>
      </c>
      <c r="D31" s="13">
        <f>'Maskiner 1'!K30/2</f>
        <v>7115.6718125290399</v>
      </c>
      <c r="E31" s="13">
        <f t="shared" si="0"/>
        <v>711.56718125290399</v>
      </c>
    </row>
    <row r="32" spans="1:17" x14ac:dyDescent="0.2">
      <c r="A32" s="145" t="s">
        <v>25</v>
      </c>
      <c r="C32" s="145">
        <v>0.1</v>
      </c>
      <c r="D32" s="13">
        <f>Grunduppgifter!B60</f>
        <v>6000</v>
      </c>
      <c r="E32" s="13">
        <f t="shared" si="0"/>
        <v>600</v>
      </c>
    </row>
    <row r="33" spans="1:21" x14ac:dyDescent="0.2">
      <c r="A33" s="29" t="s">
        <v>399</v>
      </c>
      <c r="B33" s="24"/>
      <c r="C33" s="31">
        <f>0.1/Grunduppgifter!B20</f>
        <v>3.3333333333333333E-2</v>
      </c>
      <c r="D33" s="26">
        <f>Grunduppgifter!B64</f>
        <v>4500</v>
      </c>
      <c r="E33" s="26">
        <f t="shared" si="0"/>
        <v>150</v>
      </c>
      <c r="F33" s="24"/>
      <c r="G33" s="24"/>
      <c r="H33" s="24"/>
    </row>
    <row r="34" spans="1:21" x14ac:dyDescent="0.2">
      <c r="A34" s="144" t="s">
        <v>226</v>
      </c>
      <c r="D34" s="4"/>
      <c r="E34" s="13">
        <f>SUM(E30:E33)</f>
        <v>3936.2807985745208</v>
      </c>
    </row>
    <row r="35" spans="1:21" x14ac:dyDescent="0.2">
      <c r="A35" s="144" t="s">
        <v>227</v>
      </c>
      <c r="D35" s="4"/>
      <c r="E35" s="39">
        <f>SUM(E28:E33)</f>
        <v>22710.000927665431</v>
      </c>
    </row>
    <row r="36" spans="1:21" x14ac:dyDescent="0.2">
      <c r="A36" s="144"/>
      <c r="D36" s="4"/>
      <c r="E36" s="13"/>
    </row>
    <row r="37" spans="1:21" x14ac:dyDescent="0.2">
      <c r="A37" s="144" t="s">
        <v>36</v>
      </c>
      <c r="D37" s="4"/>
      <c r="E37" s="13"/>
    </row>
    <row r="38" spans="1:21" x14ac:dyDescent="0.2">
      <c r="A38" s="143" t="s">
        <v>221</v>
      </c>
      <c r="B38" s="145" t="s">
        <v>11</v>
      </c>
      <c r="C38" s="9">
        <f>D91</f>
        <v>8.3333333333333339</v>
      </c>
      <c r="D38" s="9">
        <f>Grunduppgifter!B25</f>
        <v>283</v>
      </c>
      <c r="E38" s="13">
        <f>C38*D38</f>
        <v>2358.3333333333335</v>
      </c>
      <c r="H38" s="145" t="s">
        <v>272</v>
      </c>
    </row>
    <row r="39" spans="1:21" x14ac:dyDescent="0.2">
      <c r="A39" s="143" t="s">
        <v>222</v>
      </c>
      <c r="B39" s="145" t="s">
        <v>11</v>
      </c>
      <c r="C39" s="9">
        <f>C91</f>
        <v>33.333333333333336</v>
      </c>
      <c r="D39" s="9">
        <f>Grunduppgifter!B26</f>
        <v>186</v>
      </c>
      <c r="E39" s="13">
        <f>C39*D39</f>
        <v>6200</v>
      </c>
    </row>
    <row r="40" spans="1:21" x14ac:dyDescent="0.2">
      <c r="A40" s="145" t="s">
        <v>228</v>
      </c>
      <c r="C40" s="145">
        <v>0.1</v>
      </c>
      <c r="D40" s="13"/>
      <c r="E40" s="13">
        <f>C40*D40</f>
        <v>0</v>
      </c>
    </row>
    <row r="41" spans="1:21" x14ac:dyDescent="0.2">
      <c r="A41" s="29" t="s">
        <v>229</v>
      </c>
      <c r="B41" s="24" t="s">
        <v>11</v>
      </c>
      <c r="C41" s="26">
        <f>SUM(F91:F93)</f>
        <v>13.888888888888891</v>
      </c>
      <c r="D41" s="26">
        <f>Grunduppgifter!B30</f>
        <v>100</v>
      </c>
      <c r="E41" s="26">
        <f>C41*D41</f>
        <v>1388.8888888888891</v>
      </c>
      <c r="F41" s="24"/>
      <c r="G41" s="24"/>
      <c r="H41" s="24"/>
    </row>
    <row r="42" spans="1:21" x14ac:dyDescent="0.2">
      <c r="A42" s="144" t="s">
        <v>230</v>
      </c>
      <c r="B42" s="144"/>
      <c r="C42" s="144"/>
      <c r="D42" s="144"/>
      <c r="E42" s="39">
        <f>SUM(E38:E41)</f>
        <v>9947.2222222222226</v>
      </c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T42" s="144"/>
      <c r="U42" s="144"/>
    </row>
    <row r="43" spans="1:21" x14ac:dyDescent="0.2">
      <c r="A43" s="144"/>
      <c r="B43" s="144"/>
      <c r="C43" s="144"/>
      <c r="D43" s="144"/>
      <c r="E43" s="39"/>
      <c r="F43" s="144"/>
      <c r="G43" s="144"/>
      <c r="H43" s="144"/>
      <c r="I43" s="144"/>
      <c r="J43" s="144"/>
      <c r="M43" s="4"/>
      <c r="N43" s="4"/>
      <c r="O43" s="4"/>
      <c r="P43" s="4"/>
      <c r="Q43" s="4"/>
      <c r="R43" s="144"/>
      <c r="T43" s="144"/>
      <c r="U43" s="144"/>
    </row>
    <row r="44" spans="1:21" x14ac:dyDescent="0.2">
      <c r="A44" s="144" t="s">
        <v>231</v>
      </c>
      <c r="B44" s="144"/>
      <c r="C44" s="144"/>
      <c r="D44" s="144"/>
      <c r="E44" s="39"/>
      <c r="F44" s="144"/>
      <c r="G44" s="144"/>
      <c r="H44" s="144"/>
      <c r="I44" s="144"/>
      <c r="J44" s="144"/>
      <c r="M44" s="4"/>
      <c r="N44" s="4"/>
      <c r="O44" s="4"/>
      <c r="P44" s="4"/>
      <c r="Q44" s="4"/>
      <c r="R44" s="144"/>
      <c r="T44" s="144"/>
      <c r="U44" s="144"/>
    </row>
    <row r="45" spans="1:21" x14ac:dyDescent="0.2">
      <c r="A45" s="143" t="s">
        <v>232</v>
      </c>
      <c r="B45" s="145" t="s">
        <v>11</v>
      </c>
      <c r="C45" s="145">
        <f>D92</f>
        <v>1</v>
      </c>
      <c r="D45" s="9">
        <f>Grunduppgifter!B25</f>
        <v>283</v>
      </c>
      <c r="E45" s="13">
        <f>C45*D45</f>
        <v>283</v>
      </c>
      <c r="I45" s="144"/>
      <c r="J45" s="144"/>
      <c r="M45" s="4"/>
      <c r="N45" s="4"/>
      <c r="O45" s="4"/>
      <c r="P45" s="4"/>
      <c r="Q45" s="4"/>
      <c r="R45" s="144"/>
      <c r="T45" s="144"/>
      <c r="U45" s="144"/>
    </row>
    <row r="46" spans="1:21" x14ac:dyDescent="0.2">
      <c r="A46" s="143" t="s">
        <v>58</v>
      </c>
      <c r="B46" s="145" t="s">
        <v>16</v>
      </c>
      <c r="C46" s="96">
        <v>100</v>
      </c>
      <c r="D46" s="4">
        <f>Grunduppgifter!B31</f>
        <v>0.96</v>
      </c>
      <c r="E46" s="13">
        <f>D46*C46</f>
        <v>96</v>
      </c>
      <c r="I46" s="144"/>
      <c r="J46" s="144"/>
      <c r="M46" s="4"/>
      <c r="N46" s="4"/>
      <c r="O46" s="4"/>
      <c r="P46" s="4"/>
      <c r="Q46" s="4"/>
      <c r="R46" s="144"/>
      <c r="T46" s="144"/>
      <c r="U46" s="144"/>
    </row>
    <row r="47" spans="1:21" x14ac:dyDescent="0.2">
      <c r="A47" s="145" t="s">
        <v>233</v>
      </c>
      <c r="C47" s="136">
        <v>0.1</v>
      </c>
      <c r="D47" s="13">
        <f>'Maskiner 1'!K30/2</f>
        <v>7115.6718125290399</v>
      </c>
      <c r="E47" s="13">
        <f>D47*C47</f>
        <v>711.56718125290399</v>
      </c>
      <c r="I47" s="144"/>
      <c r="J47" s="144"/>
      <c r="M47" s="4"/>
      <c r="N47" s="4"/>
      <c r="O47" s="4"/>
      <c r="P47" s="4"/>
      <c r="Q47" s="4"/>
      <c r="R47" s="144"/>
      <c r="T47" s="144"/>
      <c r="U47" s="144"/>
    </row>
    <row r="48" spans="1:21" x14ac:dyDescent="0.2">
      <c r="A48" s="24" t="str">
        <f>Grunduppgifter!A47</f>
        <v>Lagerlådor</v>
      </c>
      <c r="B48" s="27" t="s">
        <v>14</v>
      </c>
      <c r="C48" s="26">
        <f>C4/2</f>
        <v>2500</v>
      </c>
      <c r="D48" s="31">
        <f>Grunduppgifter!B47</f>
        <v>0.12</v>
      </c>
      <c r="E48" s="26">
        <f>D48*C48</f>
        <v>300</v>
      </c>
      <c r="F48" s="24"/>
      <c r="G48" s="24"/>
      <c r="H48" s="24"/>
      <c r="I48" s="144"/>
      <c r="J48" s="144"/>
      <c r="M48" s="4"/>
      <c r="N48" s="4"/>
      <c r="O48" s="4"/>
      <c r="P48" s="4"/>
      <c r="Q48" s="4"/>
      <c r="R48" s="144"/>
      <c r="T48" s="144"/>
      <c r="U48" s="144"/>
    </row>
    <row r="49" spans="1:21" x14ac:dyDescent="0.2">
      <c r="A49" s="144" t="s">
        <v>234</v>
      </c>
      <c r="C49" s="13"/>
      <c r="D49" s="4"/>
      <c r="E49" s="39">
        <f>SUM(E45:E48)</f>
        <v>1390.567181252904</v>
      </c>
      <c r="I49" s="144"/>
      <c r="J49" s="144"/>
      <c r="M49" s="4"/>
      <c r="N49" s="4"/>
      <c r="O49" s="4"/>
      <c r="P49" s="4"/>
      <c r="Q49" s="4"/>
      <c r="R49" s="144"/>
      <c r="T49" s="144"/>
      <c r="U49" s="144"/>
    </row>
    <row r="50" spans="1:21" x14ac:dyDescent="0.2">
      <c r="A50" s="143"/>
      <c r="C50" s="13"/>
      <c r="D50" s="4"/>
      <c r="E50" s="13"/>
      <c r="I50" s="144"/>
      <c r="J50" s="144"/>
      <c r="M50" s="4"/>
      <c r="N50" s="4"/>
      <c r="O50" s="4"/>
      <c r="P50" s="4"/>
      <c r="Q50" s="4"/>
      <c r="R50" s="144"/>
      <c r="T50" s="144"/>
      <c r="U50" s="144"/>
    </row>
    <row r="51" spans="1:21" x14ac:dyDescent="0.2">
      <c r="A51" s="144" t="s">
        <v>235</v>
      </c>
      <c r="C51" s="13"/>
      <c r="D51" s="4"/>
      <c r="E51" s="13"/>
      <c r="I51" s="144"/>
      <c r="J51" s="144"/>
      <c r="M51" s="4"/>
      <c r="N51" s="4"/>
      <c r="O51" s="4"/>
      <c r="P51" s="4"/>
      <c r="Q51" s="4"/>
      <c r="R51" s="144"/>
      <c r="T51" s="144"/>
      <c r="U51" s="144"/>
    </row>
    <row r="52" spans="1:21" x14ac:dyDescent="0.2">
      <c r="A52" s="143" t="s">
        <v>221</v>
      </c>
      <c r="B52" s="145" t="s">
        <v>11</v>
      </c>
      <c r="C52" s="145">
        <f>D93</f>
        <v>10</v>
      </c>
      <c r="D52" s="9">
        <f>Grunduppgifter!B25</f>
        <v>283</v>
      </c>
      <c r="E52" s="13">
        <f>C52*D52</f>
        <v>2830</v>
      </c>
      <c r="I52" s="144"/>
      <c r="J52" s="144"/>
      <c r="M52" s="4"/>
      <c r="N52" s="4"/>
      <c r="O52" s="4"/>
      <c r="P52" s="4"/>
      <c r="Q52" s="4"/>
      <c r="R52" s="144"/>
      <c r="T52" s="144"/>
      <c r="U52" s="144"/>
    </row>
    <row r="53" spans="1:21" x14ac:dyDescent="0.2">
      <c r="A53" s="143" t="s">
        <v>222</v>
      </c>
      <c r="B53" s="145" t="s">
        <v>11</v>
      </c>
      <c r="C53" s="145">
        <f>C93</f>
        <v>40</v>
      </c>
      <c r="D53" s="9">
        <f>Grunduppgifter!B26</f>
        <v>186</v>
      </c>
      <c r="E53" s="13">
        <f>C53*D53</f>
        <v>7440</v>
      </c>
      <c r="I53" s="144"/>
      <c r="J53" s="144"/>
      <c r="M53" s="4"/>
      <c r="N53" s="4"/>
      <c r="O53" s="4"/>
      <c r="P53" s="4"/>
      <c r="Q53" s="4"/>
      <c r="R53" s="144"/>
      <c r="T53" s="144"/>
      <c r="U53" s="144"/>
    </row>
    <row r="54" spans="1:21" x14ac:dyDescent="0.2">
      <c r="A54" s="145" t="s">
        <v>267</v>
      </c>
      <c r="C54" s="145">
        <v>0.1</v>
      </c>
      <c r="D54" s="13"/>
      <c r="E54" s="13">
        <f>C54*D54</f>
        <v>0</v>
      </c>
      <c r="I54" s="144"/>
      <c r="J54" s="144"/>
      <c r="M54" s="4"/>
      <c r="N54" s="4"/>
      <c r="O54" s="4"/>
      <c r="P54" s="4"/>
      <c r="Q54" s="4"/>
      <c r="R54" s="144"/>
      <c r="T54" s="144"/>
      <c r="U54" s="144"/>
    </row>
    <row r="55" spans="1:21" x14ac:dyDescent="0.2">
      <c r="A55" s="143" t="s">
        <v>236</v>
      </c>
      <c r="C55" s="145">
        <v>0.1</v>
      </c>
      <c r="D55" s="13">
        <f>'Maskiner 1'!J30</f>
        <v>6566.3263932658247</v>
      </c>
      <c r="E55" s="13">
        <f>C55*D55</f>
        <v>656.63263932658253</v>
      </c>
      <c r="I55" s="144"/>
      <c r="J55" s="144"/>
      <c r="M55" s="4"/>
      <c r="N55" s="4"/>
      <c r="O55" s="4"/>
      <c r="P55" s="4"/>
      <c r="Q55" s="4"/>
      <c r="R55" s="144"/>
      <c r="T55" s="144"/>
      <c r="U55" s="144"/>
    </row>
    <row r="56" spans="1:21" x14ac:dyDescent="0.2">
      <c r="A56" s="143" t="s">
        <v>237</v>
      </c>
      <c r="B56" s="145" t="s">
        <v>16</v>
      </c>
      <c r="C56" s="96">
        <v>100</v>
      </c>
      <c r="D56" s="4">
        <f>Grunduppgifter!B31</f>
        <v>0.96</v>
      </c>
      <c r="E56" s="13">
        <f>D56*C56</f>
        <v>96</v>
      </c>
      <c r="I56" s="144"/>
      <c r="J56" s="144"/>
      <c r="M56" s="4"/>
      <c r="N56" s="4"/>
      <c r="O56" s="4"/>
      <c r="P56" s="4"/>
      <c r="Q56" s="4"/>
      <c r="R56" s="144"/>
      <c r="T56" s="144"/>
      <c r="U56" s="144"/>
    </row>
    <row r="57" spans="1:21" x14ac:dyDescent="0.2">
      <c r="A57" s="143" t="s">
        <v>268</v>
      </c>
      <c r="B57" s="145" t="s">
        <v>269</v>
      </c>
      <c r="C57" s="13">
        <f>C9</f>
        <v>4000</v>
      </c>
      <c r="D57" s="4">
        <v>0</v>
      </c>
      <c r="E57" s="13">
        <f>C57*D57</f>
        <v>0</v>
      </c>
      <c r="I57" s="144"/>
      <c r="J57" s="144"/>
      <c r="M57" s="4"/>
      <c r="N57" s="4"/>
      <c r="O57" s="4"/>
      <c r="P57" s="4"/>
      <c r="Q57" s="4"/>
      <c r="R57" s="144"/>
      <c r="T57" s="144"/>
      <c r="U57" s="144"/>
    </row>
    <row r="58" spans="1:21" x14ac:dyDescent="0.2">
      <c r="A58" s="29" t="s">
        <v>300</v>
      </c>
      <c r="B58" s="24" t="s">
        <v>120</v>
      </c>
      <c r="C58" s="26">
        <f>C9/15</f>
        <v>266.66666666666669</v>
      </c>
      <c r="D58" s="31">
        <v>1.6</v>
      </c>
      <c r="E58" s="26">
        <f>C58*D58</f>
        <v>426.66666666666674</v>
      </c>
      <c r="F58" s="24"/>
      <c r="G58" s="24"/>
      <c r="H58" s="24"/>
      <c r="I58" s="144"/>
      <c r="J58" s="144"/>
      <c r="M58" s="4"/>
      <c r="N58" s="4"/>
      <c r="O58" s="4"/>
      <c r="P58" s="4"/>
      <c r="Q58" s="4"/>
      <c r="R58" s="144"/>
      <c r="T58" s="144"/>
      <c r="U58" s="144"/>
    </row>
    <row r="59" spans="1:21" x14ac:dyDescent="0.2">
      <c r="A59" s="144" t="s">
        <v>238</v>
      </c>
      <c r="C59" s="13"/>
      <c r="D59" s="4"/>
      <c r="E59" s="39">
        <f>SUM(E52:E58)</f>
        <v>11449.299305993249</v>
      </c>
      <c r="I59" s="144"/>
      <c r="J59" s="144"/>
      <c r="M59" s="4"/>
      <c r="N59" s="4"/>
      <c r="O59" s="4"/>
      <c r="P59" s="4"/>
      <c r="Q59" s="4"/>
      <c r="R59" s="144"/>
      <c r="T59" s="144"/>
      <c r="U59" s="144"/>
    </row>
    <row r="60" spans="1:21" x14ac:dyDescent="0.2">
      <c r="A60" s="143"/>
      <c r="C60" s="13"/>
      <c r="D60" s="4"/>
      <c r="E60" s="13"/>
      <c r="I60" s="144"/>
      <c r="J60" s="144"/>
      <c r="M60" s="4"/>
      <c r="N60" s="4"/>
      <c r="O60" s="4"/>
      <c r="P60" s="4"/>
      <c r="Q60" s="4"/>
      <c r="R60" s="144"/>
      <c r="T60" s="144"/>
      <c r="U60" s="144"/>
    </row>
    <row r="61" spans="1:21" x14ac:dyDescent="0.2">
      <c r="A61" s="144" t="s">
        <v>131</v>
      </c>
      <c r="C61" s="13"/>
      <c r="D61" s="4"/>
      <c r="E61" s="13"/>
      <c r="I61" s="144"/>
      <c r="J61" s="144"/>
      <c r="M61" s="4"/>
      <c r="N61" s="4"/>
      <c r="O61" s="4"/>
      <c r="P61" s="4"/>
      <c r="Q61" s="4"/>
      <c r="R61" s="144"/>
      <c r="T61" s="144"/>
      <c r="U61" s="144"/>
    </row>
    <row r="62" spans="1:21" x14ac:dyDescent="0.2">
      <c r="A62" s="145" t="s">
        <v>19</v>
      </c>
      <c r="B62" s="143"/>
      <c r="C62" s="13">
        <v>1</v>
      </c>
      <c r="D62" s="9">
        <f>Grunduppgifter!B58</f>
        <v>1500</v>
      </c>
      <c r="E62" s="13">
        <f>C62*D62</f>
        <v>1500</v>
      </c>
      <c r="F62" s="13"/>
      <c r="H62" s="145" t="s">
        <v>139</v>
      </c>
      <c r="I62" s="144"/>
      <c r="J62" s="144"/>
      <c r="M62" s="4"/>
      <c r="N62" s="4"/>
      <c r="O62" s="4"/>
      <c r="P62" s="4"/>
      <c r="Q62" s="4"/>
      <c r="R62" s="144"/>
      <c r="T62" s="144"/>
      <c r="U62" s="144"/>
    </row>
    <row r="63" spans="1:21" x14ac:dyDescent="0.2">
      <c r="A63" s="24" t="s">
        <v>134</v>
      </c>
      <c r="B63" s="109" t="s">
        <v>11</v>
      </c>
      <c r="C63" s="26">
        <f>D94</f>
        <v>60</v>
      </c>
      <c r="D63" s="26">
        <f>Grunduppgifter!B25</f>
        <v>283</v>
      </c>
      <c r="E63" s="26">
        <f>C63*D63</f>
        <v>16980</v>
      </c>
      <c r="F63" s="26"/>
      <c r="G63" s="24"/>
      <c r="H63" s="24" t="s">
        <v>139</v>
      </c>
      <c r="I63" s="144"/>
      <c r="J63" s="144"/>
      <c r="M63" s="4"/>
      <c r="N63" s="4"/>
      <c r="O63" s="4"/>
      <c r="P63" s="4"/>
      <c r="Q63" s="4"/>
      <c r="R63" s="144"/>
      <c r="T63" s="144"/>
      <c r="U63" s="144"/>
    </row>
    <row r="64" spans="1:21" x14ac:dyDescent="0.2">
      <c r="A64" s="144" t="s">
        <v>239</v>
      </c>
      <c r="B64" s="144"/>
      <c r="C64" s="144"/>
      <c r="D64" s="144"/>
      <c r="E64" s="39">
        <f>SUM(E62:E63)</f>
        <v>18480</v>
      </c>
      <c r="F64" s="144"/>
      <c r="G64" s="144"/>
      <c r="H64" s="144"/>
      <c r="I64" s="144"/>
      <c r="J64" s="144"/>
      <c r="M64" s="4"/>
      <c r="N64" s="4"/>
      <c r="O64" s="4"/>
      <c r="P64" s="4"/>
      <c r="Q64" s="4"/>
      <c r="R64" s="144"/>
      <c r="T64" s="144"/>
      <c r="U64" s="144"/>
    </row>
    <row r="65" spans="1:21" x14ac:dyDescent="0.2">
      <c r="A65" s="30"/>
      <c r="B65" s="24"/>
      <c r="C65" s="24"/>
      <c r="D65" s="24"/>
      <c r="E65" s="26"/>
      <c r="F65" s="24"/>
      <c r="G65" s="24"/>
      <c r="H65" s="24"/>
      <c r="S65" s="144"/>
    </row>
    <row r="66" spans="1:21" x14ac:dyDescent="0.2">
      <c r="A66" s="144" t="s">
        <v>240</v>
      </c>
      <c r="B66" s="46"/>
      <c r="C66" s="46"/>
      <c r="D66" s="46"/>
      <c r="E66" s="110">
        <f>E35+E42+E49+E59+E64</f>
        <v>63977.089637133809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144"/>
      <c r="T66" s="46"/>
      <c r="U66" s="46"/>
    </row>
    <row r="67" spans="1:21" x14ac:dyDescent="0.2">
      <c r="A67" s="46"/>
      <c r="E67" s="13"/>
      <c r="S67" s="144"/>
    </row>
    <row r="68" spans="1:21" x14ac:dyDescent="0.2">
      <c r="A68" s="144" t="s">
        <v>241</v>
      </c>
      <c r="E68" s="9"/>
    </row>
    <row r="69" spans="1:21" x14ac:dyDescent="0.2">
      <c r="A69" s="145" t="s">
        <v>121</v>
      </c>
      <c r="C69" s="145">
        <v>0.1</v>
      </c>
      <c r="D69" s="13">
        <f>Grunduppgifter!B67/(Grunduppgifter!B21+0.05*(Grunduppgifter!B20-Grunduppgifter!B21))</f>
        <v>27272.727272727272</v>
      </c>
      <c r="E69" s="13">
        <f>C69*D69</f>
        <v>2727.2727272727275</v>
      </c>
    </row>
    <row r="70" spans="1:21" x14ac:dyDescent="0.2">
      <c r="A70" s="24" t="s">
        <v>215</v>
      </c>
      <c r="B70" s="24"/>
      <c r="C70" s="24">
        <v>0.1</v>
      </c>
      <c r="D70" s="26">
        <f>Grunduppgifter!B68/(Grunduppgifter!B21+0.05*(Grunduppgifter!B20-Grunduppgifter!B21))</f>
        <v>27272.727272727272</v>
      </c>
      <c r="E70" s="26">
        <f>C70*D70</f>
        <v>2727.2727272727275</v>
      </c>
      <c r="F70" s="24"/>
      <c r="G70" s="24"/>
      <c r="H70" s="24"/>
      <c r="R70" s="144"/>
    </row>
    <row r="71" spans="1:21" x14ac:dyDescent="0.2">
      <c r="A71" s="144" t="s">
        <v>242</v>
      </c>
      <c r="B71" s="144"/>
      <c r="C71" s="144"/>
      <c r="D71" s="39"/>
      <c r="E71" s="39">
        <f>SUM(E69:E70)</f>
        <v>5454.545454545455</v>
      </c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T71" s="144"/>
      <c r="U71" s="144"/>
    </row>
    <row r="72" spans="1:21" x14ac:dyDescent="0.2">
      <c r="A72" s="46"/>
      <c r="D72" s="13"/>
      <c r="E72" s="13"/>
      <c r="R72" s="144"/>
      <c r="S72" s="143"/>
    </row>
    <row r="73" spans="1:21" x14ac:dyDescent="0.2">
      <c r="A73" s="30" t="s">
        <v>0</v>
      </c>
      <c r="B73" s="24"/>
      <c r="C73" s="24"/>
      <c r="D73" s="24"/>
      <c r="E73" s="52">
        <f>E11-E66-E71</f>
        <v>0</v>
      </c>
      <c r="F73" s="24"/>
      <c r="G73" s="24"/>
      <c r="H73" s="24"/>
      <c r="S73" s="144"/>
    </row>
    <row r="74" spans="1:21" x14ac:dyDescent="0.2">
      <c r="A74" s="144"/>
      <c r="E74" s="9"/>
      <c r="S74" s="144"/>
    </row>
    <row r="75" spans="1:21" x14ac:dyDescent="0.2">
      <c r="A75" s="144"/>
    </row>
    <row r="76" spans="1:21" ht="15.75" x14ac:dyDescent="0.25">
      <c r="A76" s="53" t="s">
        <v>243</v>
      </c>
      <c r="B76" s="24"/>
      <c r="C76" s="24"/>
      <c r="D76" s="24"/>
      <c r="E76" s="24"/>
      <c r="F76" s="24"/>
      <c r="G76" s="24"/>
      <c r="H76" s="24"/>
    </row>
    <row r="77" spans="1:21" x14ac:dyDescent="0.2">
      <c r="A77" s="144"/>
      <c r="B77" s="111"/>
      <c r="C77" s="133" t="s">
        <v>244</v>
      </c>
      <c r="D77" s="133" t="s">
        <v>245</v>
      </c>
      <c r="E77" s="111"/>
      <c r="F77" s="133" t="s">
        <v>29</v>
      </c>
      <c r="G77" s="50"/>
      <c r="H77" s="144" t="s">
        <v>30</v>
      </c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</row>
    <row r="78" spans="1:21" x14ac:dyDescent="0.2">
      <c r="A78" s="30" t="s">
        <v>27</v>
      </c>
      <c r="B78" s="30"/>
      <c r="C78" s="134" t="s">
        <v>284</v>
      </c>
      <c r="D78" s="134" t="s">
        <v>284</v>
      </c>
      <c r="E78" s="112"/>
      <c r="F78" s="134" t="s">
        <v>284</v>
      </c>
      <c r="G78" s="49"/>
      <c r="H78" s="30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</row>
    <row r="79" spans="1:21" x14ac:dyDescent="0.2">
      <c r="A79" s="145" t="s">
        <v>82</v>
      </c>
      <c r="D79" s="145">
        <v>2</v>
      </c>
      <c r="F79" s="145">
        <v>2</v>
      </c>
    </row>
    <row r="80" spans="1:21" x14ac:dyDescent="0.2">
      <c r="A80" s="145" t="s">
        <v>33</v>
      </c>
      <c r="D80" s="145">
        <v>2</v>
      </c>
      <c r="F80" s="145">
        <v>2</v>
      </c>
    </row>
    <row r="81" spans="1:21" x14ac:dyDescent="0.2">
      <c r="A81" s="145" t="s">
        <v>70</v>
      </c>
      <c r="C81" s="14">
        <f>20000/1200*8/10</f>
        <v>13.333333333333334</v>
      </c>
      <c r="D81" s="14">
        <f>20000/1200*2/10</f>
        <v>3.3333333333333335</v>
      </c>
      <c r="F81" s="145">
        <v>0</v>
      </c>
      <c r="H81" s="145" t="s">
        <v>403</v>
      </c>
    </row>
    <row r="82" spans="1:21" x14ac:dyDescent="0.2">
      <c r="A82" s="145" t="s">
        <v>247</v>
      </c>
      <c r="D82" s="145">
        <v>0</v>
      </c>
      <c r="F82" s="145">
        <v>0</v>
      </c>
    </row>
    <row r="83" spans="1:21" x14ac:dyDescent="0.2">
      <c r="A83" s="145" t="s">
        <v>34</v>
      </c>
      <c r="D83" s="145">
        <v>4</v>
      </c>
      <c r="F83" s="145">
        <v>0</v>
      </c>
      <c r="H83" s="145" t="s">
        <v>66</v>
      </c>
    </row>
    <row r="84" spans="1:21" x14ac:dyDescent="0.2">
      <c r="A84" s="145" t="s">
        <v>88</v>
      </c>
      <c r="D84" s="145">
        <v>0</v>
      </c>
      <c r="F84" s="145">
        <v>0</v>
      </c>
    </row>
    <row r="85" spans="1:21" x14ac:dyDescent="0.2">
      <c r="A85" s="145" t="s">
        <v>64</v>
      </c>
      <c r="D85" s="145">
        <v>3</v>
      </c>
      <c r="F85" s="145">
        <v>0</v>
      </c>
      <c r="H85" s="145" t="s">
        <v>277</v>
      </c>
    </row>
    <row r="86" spans="1:21" x14ac:dyDescent="0.2">
      <c r="A86" s="145" t="s">
        <v>248</v>
      </c>
      <c r="C86" s="145">
        <v>7</v>
      </c>
      <c r="D86" s="145">
        <v>1</v>
      </c>
      <c r="F86" s="145">
        <v>0</v>
      </c>
      <c r="H86" s="143" t="s">
        <v>126</v>
      </c>
      <c r="I86" s="143"/>
    </row>
    <row r="87" spans="1:21" x14ac:dyDescent="0.2">
      <c r="A87" s="145" t="s">
        <v>35</v>
      </c>
      <c r="C87" s="145">
        <v>19</v>
      </c>
      <c r="D87" s="145">
        <v>1</v>
      </c>
      <c r="F87" s="145">
        <v>0</v>
      </c>
      <c r="H87" s="143"/>
    </row>
    <row r="88" spans="1:21" x14ac:dyDescent="0.2">
      <c r="A88" s="24" t="s">
        <v>127</v>
      </c>
      <c r="B88" s="24"/>
      <c r="C88" s="24"/>
      <c r="D88" s="24">
        <v>2</v>
      </c>
      <c r="E88" s="24"/>
      <c r="F88" s="24">
        <v>0</v>
      </c>
      <c r="G88" s="24"/>
      <c r="H88" s="24"/>
    </row>
    <row r="89" spans="1:21" x14ac:dyDescent="0.2">
      <c r="A89" s="143" t="s">
        <v>249</v>
      </c>
      <c r="C89" s="14">
        <f>SUM(C79:C88)</f>
        <v>39.333333333333336</v>
      </c>
      <c r="D89" s="14">
        <f>SUM(D79:D88)</f>
        <v>18.333333333333336</v>
      </c>
      <c r="F89" s="145">
        <f>SUM(F79:F88)</f>
        <v>4</v>
      </c>
    </row>
    <row r="91" spans="1:21" x14ac:dyDescent="0.2">
      <c r="A91" s="143" t="s">
        <v>250</v>
      </c>
      <c r="C91" s="9">
        <f>(0.2*C4/120+0.8*C4/120)*4/5</f>
        <v>33.333333333333336</v>
      </c>
      <c r="D91" s="9">
        <f>(0.2*C4/120+0.8*C4/120)*1/5</f>
        <v>8.3333333333333339</v>
      </c>
      <c r="F91" s="9">
        <f>0.2*C4/120/3+0.8*C4/120/3</f>
        <v>13.888888888888891</v>
      </c>
      <c r="H91" s="143" t="s">
        <v>299</v>
      </c>
    </row>
    <row r="92" spans="1:21" x14ac:dyDescent="0.2">
      <c r="A92" s="143" t="s">
        <v>231</v>
      </c>
      <c r="D92" s="145">
        <v>1</v>
      </c>
    </row>
    <row r="93" spans="1:21" x14ac:dyDescent="0.2">
      <c r="A93" s="22" t="s">
        <v>128</v>
      </c>
      <c r="B93" s="22"/>
      <c r="C93" s="22">
        <f>C9/80*4/5</f>
        <v>40</v>
      </c>
      <c r="D93" s="22">
        <f>C9/80*1/5</f>
        <v>10</v>
      </c>
      <c r="E93" s="22"/>
      <c r="F93" s="22">
        <v>0</v>
      </c>
      <c r="G93" s="22"/>
      <c r="H93" s="195" t="s">
        <v>408</v>
      </c>
    </row>
    <row r="94" spans="1:21" s="194" customFormat="1" x14ac:dyDescent="0.2">
      <c r="A94" s="60" t="s">
        <v>259</v>
      </c>
      <c r="B94" s="24"/>
      <c r="C94" s="24"/>
      <c r="D94" s="24">
        <f>Grunduppgifter!B27</f>
        <v>60</v>
      </c>
      <c r="E94" s="24"/>
      <c r="F94" s="24"/>
      <c r="G94" s="24"/>
      <c r="H94" s="29"/>
    </row>
    <row r="95" spans="1:21" x14ac:dyDescent="0.2">
      <c r="A95" s="144" t="s">
        <v>251</v>
      </c>
      <c r="B95" s="144"/>
      <c r="C95" s="45">
        <f>SUM(C89:C93)</f>
        <v>112.66666666666667</v>
      </c>
      <c r="D95" s="45">
        <f>SUM(D89:D93)</f>
        <v>37.666666666666671</v>
      </c>
      <c r="E95" s="144"/>
      <c r="F95" s="45">
        <f>SUM(F89:F93)</f>
        <v>17.888888888888893</v>
      </c>
      <c r="G95" s="144"/>
      <c r="H95" s="45">
        <f>SUM(B95:D95)</f>
        <v>150.33333333333334</v>
      </c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</row>
    <row r="96" spans="1:21" x14ac:dyDescent="0.2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</row>
    <row r="98" spans="1:8" ht="25.5" x14ac:dyDescent="0.25">
      <c r="A98" s="53" t="s">
        <v>132</v>
      </c>
      <c r="B98" s="114"/>
      <c r="C98" s="115" t="s">
        <v>252</v>
      </c>
      <c r="D98" s="115" t="s">
        <v>253</v>
      </c>
    </row>
    <row r="99" spans="1:8" x14ac:dyDescent="0.2">
      <c r="A99" s="145" t="s">
        <v>278</v>
      </c>
      <c r="B99" s="116"/>
      <c r="C99" s="116">
        <f>(E28-E10)/C9</f>
        <v>4.5684300322727278</v>
      </c>
      <c r="D99" s="116">
        <f t="shared" ref="D99:D104" si="1">C99+$C$105*C99/($C$106-$C$105)</f>
        <v>4.9609922844079426</v>
      </c>
    </row>
    <row r="100" spans="1:8" x14ac:dyDescent="0.2">
      <c r="A100" s="145" t="s">
        <v>254</v>
      </c>
      <c r="B100" s="116"/>
      <c r="C100" s="116">
        <f>E34/C9</f>
        <v>0.98407019964363018</v>
      </c>
      <c r="D100" s="116">
        <f t="shared" si="1"/>
        <v>1.0686307184875776</v>
      </c>
    </row>
    <row r="101" spans="1:8" x14ac:dyDescent="0.2">
      <c r="A101" s="145" t="s">
        <v>258</v>
      </c>
      <c r="B101" s="116"/>
      <c r="C101" s="116">
        <f>E42/C9</f>
        <v>2.4868055555555557</v>
      </c>
      <c r="D101" s="116">
        <f t="shared" si="1"/>
        <v>2.7004951562750383</v>
      </c>
    </row>
    <row r="102" spans="1:8" x14ac:dyDescent="0.2">
      <c r="A102" s="145" t="s">
        <v>231</v>
      </c>
      <c r="B102" s="116"/>
      <c r="C102" s="116">
        <f>E49/C9</f>
        <v>0.34764179531322598</v>
      </c>
      <c r="D102" s="116">
        <f t="shared" si="1"/>
        <v>0.37751443101967608</v>
      </c>
    </row>
    <row r="103" spans="1:8" x14ac:dyDescent="0.2">
      <c r="A103" s="145" t="s">
        <v>235</v>
      </c>
      <c r="B103" s="116"/>
      <c r="C103" s="116">
        <f>E59/C9</f>
        <v>2.8623248264983121</v>
      </c>
      <c r="D103" s="116">
        <f t="shared" si="1"/>
        <v>3.1082825564613383</v>
      </c>
    </row>
    <row r="104" spans="1:8" x14ac:dyDescent="0.2">
      <c r="A104" s="145" t="s">
        <v>131</v>
      </c>
      <c r="B104" s="116"/>
      <c r="C104" s="116">
        <f>E64/C9</f>
        <v>4.62</v>
      </c>
      <c r="D104" s="116">
        <f t="shared" si="1"/>
        <v>5.016993626268242</v>
      </c>
    </row>
    <row r="105" spans="1:8" x14ac:dyDescent="0.2">
      <c r="A105" s="24" t="s">
        <v>241</v>
      </c>
      <c r="B105" s="117"/>
      <c r="C105" s="117">
        <f>E71/C9</f>
        <v>1.3636363636363638</v>
      </c>
      <c r="D105" s="117"/>
    </row>
    <row r="106" spans="1:8" x14ac:dyDescent="0.2">
      <c r="B106" s="113"/>
      <c r="C106" s="113">
        <f>SUM(C99:C105)</f>
        <v>17.232908772919817</v>
      </c>
      <c r="D106" s="113">
        <f>SUM(D99:D105)</f>
        <v>17.232908772919814</v>
      </c>
    </row>
    <row r="107" spans="1:8" x14ac:dyDescent="0.2">
      <c r="B107" s="116"/>
    </row>
    <row r="109" spans="1:8" x14ac:dyDescent="0.2">
      <c r="A109" s="58" t="s">
        <v>255</v>
      </c>
      <c r="B109" s="58"/>
      <c r="C109" s="118">
        <v>-0.5</v>
      </c>
      <c r="D109" s="118">
        <v>-0.25</v>
      </c>
      <c r="E109" s="58">
        <v>0</v>
      </c>
      <c r="F109" s="118">
        <v>0.25</v>
      </c>
      <c r="G109" s="118">
        <v>0.5</v>
      </c>
    </row>
    <row r="110" spans="1:8" x14ac:dyDescent="0.2">
      <c r="A110" s="145" t="s">
        <v>256</v>
      </c>
      <c r="B110" s="145" t="s">
        <v>246</v>
      </c>
      <c r="C110" s="9">
        <f>($C$95+$D$95)*(1+C109)</f>
        <v>75.166666666666671</v>
      </c>
      <c r="D110" s="9">
        <f>($C$95+$D$95)*(1+D109)</f>
        <v>112.75</v>
      </c>
      <c r="E110" s="9">
        <f>($C$95+$D$95)*(1+E109)</f>
        <v>150.33333333333334</v>
      </c>
      <c r="F110" s="9">
        <f>($C$95+$D$95)*(1+F109)</f>
        <v>187.91666666666669</v>
      </c>
      <c r="G110" s="9">
        <f>($C$95+$D$95)*(1+G109)</f>
        <v>225.5</v>
      </c>
    </row>
    <row r="111" spans="1:8" x14ac:dyDescent="0.2">
      <c r="A111" s="24" t="s">
        <v>116</v>
      </c>
      <c r="B111" s="24" t="s">
        <v>133</v>
      </c>
      <c r="C111" s="31">
        <f>($E$66+$E$71-$E$10+C109*($E$14+$E$15+$E$38+$E$39+$E$45+$E$52+$E$53))/$C$9</f>
        <v>13.28095043958648</v>
      </c>
      <c r="D111" s="31">
        <f>($E$66+$E$71-$E$10+D109*($E$14+$E$15+$E$38+$E$39+$E$45+$E$52+$E$53))/$C$9</f>
        <v>15.256929606253149</v>
      </c>
      <c r="E111" s="31">
        <f>($E$66+$E$71-$E$10+E109*($E$14+$E$15+$E$38+$E$39+$E$45+$E$52+$E$53))/$C$9</f>
        <v>17.232908772919814</v>
      </c>
      <c r="F111" s="31">
        <f>($E$66+$E$71-$E$10+F109*($E$14+$E$15+$E$38+$E$39+$E$45+$E$52+$E$53))/$C$9</f>
        <v>19.208887939586482</v>
      </c>
      <c r="G111" s="31">
        <f>($E$66+$E$71-$E$10+G109*($E$14+$E$15+$E$38+$E$39+$E$45+$E$52+$E$53))/$C$9</f>
        <v>21.184867106253147</v>
      </c>
      <c r="H111" s="144"/>
    </row>
    <row r="114" spans="1:8" x14ac:dyDescent="0.2">
      <c r="A114" s="30" t="s">
        <v>255</v>
      </c>
      <c r="B114" s="30"/>
      <c r="C114" s="119">
        <v>-0.5</v>
      </c>
      <c r="D114" s="119">
        <v>-0.25</v>
      </c>
      <c r="E114" s="30">
        <v>0</v>
      </c>
      <c r="F114" s="119">
        <v>0.25</v>
      </c>
      <c r="G114" s="119">
        <v>0.5</v>
      </c>
      <c r="H114" s="145" t="s">
        <v>296</v>
      </c>
    </row>
    <row r="115" spans="1:8" x14ac:dyDescent="0.2">
      <c r="A115" s="145" t="s">
        <v>4</v>
      </c>
      <c r="B115" s="145" t="s">
        <v>257</v>
      </c>
      <c r="C115" s="136">
        <f>$C$9/1000*(1+C114)</f>
        <v>2</v>
      </c>
      <c r="D115" s="136">
        <f>$C$9/1000*(1+D114)</f>
        <v>3</v>
      </c>
      <c r="E115" s="136">
        <f>$C$9/1000*(1+E114)</f>
        <v>4</v>
      </c>
      <c r="F115" s="136">
        <f>$C$9/1000*(1+F114)</f>
        <v>5</v>
      </c>
      <c r="G115" s="136">
        <f>$C$9/1000*(1+G114)</f>
        <v>6</v>
      </c>
    </row>
    <row r="116" spans="1:8" x14ac:dyDescent="0.2">
      <c r="A116" s="145" t="s">
        <v>220</v>
      </c>
      <c r="B116" s="145" t="s">
        <v>202</v>
      </c>
      <c r="C116" s="13">
        <f>$E$35</f>
        <v>22710.000927665431</v>
      </c>
      <c r="D116" s="13">
        <f>$E$35</f>
        <v>22710.000927665431</v>
      </c>
      <c r="E116" s="13">
        <f>$E$35</f>
        <v>22710.000927665431</v>
      </c>
      <c r="F116" s="13">
        <f>$E$35</f>
        <v>22710.000927665431</v>
      </c>
      <c r="G116" s="13">
        <f>$E$35</f>
        <v>22710.000927665431</v>
      </c>
    </row>
    <row r="117" spans="1:8" x14ac:dyDescent="0.2">
      <c r="A117" s="145" t="s">
        <v>258</v>
      </c>
      <c r="B117" s="145" t="s">
        <v>202</v>
      </c>
      <c r="C117" s="13">
        <f>((0.2*$C$4/120+0.8*$C$4*(1+C114)/120)*4/5*Grunduppgifter!$B$26)+((0.2*$C$4/120+0.8*$C$4*(1+C114)/120)*1/5*Grunduppgifter!$B$25)+((0.2*$C$4/120/3+0.8*$C$4*(1+C114)/120/3)*Grunduppgifter!$B$30)</f>
        <v>5968.333333333333</v>
      </c>
      <c r="D117" s="13">
        <f>((0.2*$C$4/120+0.8*$C$4*(1+D114)/120)*4/5*Grunduppgifter!$B$26)+((0.2*$C$4/120+0.8*$C$4*(1+D114)/120)*1/5*Grunduppgifter!$B$25)+((0.2*$C$4/120/3+0.8*$C$4*(1+D114)/120/3)*Grunduppgifter!$B$30)</f>
        <v>7957.7777777777783</v>
      </c>
      <c r="E117" s="13">
        <f>((0.2*$C$4/120+0.8*$C$4*(1+E114)/120)*4/5*Grunduppgifter!$B$26)+((0.2*$C$4/120+0.8*$C$4*(1+E114)/120)*1/5*Grunduppgifter!$B$25)+((0.2*$C$4/120/3+0.8*$C$4*(1+E114)/120/3)*Grunduppgifter!$B$30)</f>
        <v>9947.2222222222226</v>
      </c>
      <c r="F117" s="13">
        <f>((0.2*$C$4/120+0.8*$C$4*(1+F114)/120)*4/5*Grunduppgifter!$B$26)+((0.2*$C$4/120+0.8*$C$4*(1+F114)/120)*1/5*Grunduppgifter!$B$25)+((0.2*$C$4/120/3+0.8*$C$4*(1+F114)/120/3)*Grunduppgifter!$B$30)</f>
        <v>11936.666666666666</v>
      </c>
      <c r="G117" s="13">
        <f>((0.2*$C$4/120+0.8*$C$4*(1+G114)/120)*4/5*Grunduppgifter!$B$26)+((0.2*$C$4/120+0.8*$C$4*(1+G114)/120)*1/5*Grunduppgifter!$B$25)+((0.2*$C$4/120/3+0.8*$C$4*(1+G114)/120/3)*Grunduppgifter!$B$30)</f>
        <v>13926.111111111113</v>
      </c>
    </row>
    <row r="118" spans="1:8" x14ac:dyDescent="0.2">
      <c r="A118" s="145" t="s">
        <v>228</v>
      </c>
      <c r="B118" s="145" t="s">
        <v>202</v>
      </c>
      <c r="C118" s="13">
        <f>$E$40</f>
        <v>0</v>
      </c>
      <c r="D118" s="13">
        <f>$E$40</f>
        <v>0</v>
      </c>
      <c r="E118" s="13">
        <f>$E$40</f>
        <v>0</v>
      </c>
      <c r="F118" s="13">
        <f>$E$40</f>
        <v>0</v>
      </c>
      <c r="G118" s="13">
        <f>$E$40</f>
        <v>0</v>
      </c>
    </row>
    <row r="119" spans="1:8" x14ac:dyDescent="0.2">
      <c r="A119" s="145" t="s">
        <v>231</v>
      </c>
      <c r="B119" s="145" t="s">
        <v>202</v>
      </c>
      <c r="C119" s="13">
        <f t="shared" ref="C119:D119" si="2">$E$45+$E$46+$E$47+$E$48*(1+C114)</f>
        <v>1240.567181252904</v>
      </c>
      <c r="D119" s="13">
        <f t="shared" si="2"/>
        <v>1315.567181252904</v>
      </c>
      <c r="E119" s="13">
        <f>$E$45+$E$46+$E$47+$E$48*(1+E114)</f>
        <v>1390.567181252904</v>
      </c>
      <c r="F119" s="13">
        <f>$E$45+$E$46+$E$47+$E$48*(1+F114)</f>
        <v>1465.567181252904</v>
      </c>
      <c r="G119" s="13">
        <f>$E$45+$E$46+$E$47+$E$48*(1+G114)</f>
        <v>1540.567181252904</v>
      </c>
    </row>
    <row r="120" spans="1:8" x14ac:dyDescent="0.2">
      <c r="A120" s="145" t="s">
        <v>235</v>
      </c>
      <c r="B120" s="145" t="s">
        <v>202</v>
      </c>
      <c r="C120" s="13">
        <f t="shared" ref="C120:D120" si="3">$E$54+$E$55+$E$56+($E$52+$E$53+$E$57+$E$58)*(1+C114)</f>
        <v>6100.9659726599157</v>
      </c>
      <c r="D120" s="13">
        <f t="shared" si="3"/>
        <v>8775.1326393265826</v>
      </c>
      <c r="E120" s="13">
        <f>$E$54+$E$55+$E$56+($E$52+$E$53+$E$57+$E$58)*(1+E114)</f>
        <v>11449.299305993249</v>
      </c>
      <c r="F120" s="13">
        <f t="shared" ref="F120:G120" si="4">$E$54+$E$55+$E$56+($E$52+$E$53+$E$57+$E$58)*(1+F114)</f>
        <v>14123.465972659915</v>
      </c>
      <c r="G120" s="13">
        <f t="shared" si="4"/>
        <v>16797.632639326581</v>
      </c>
    </row>
    <row r="121" spans="1:8" x14ac:dyDescent="0.2">
      <c r="A121" s="145" t="s">
        <v>259</v>
      </c>
      <c r="B121" s="145" t="s">
        <v>202</v>
      </c>
      <c r="C121" s="13">
        <f t="shared" ref="C121:D121" si="5">0.2*$E$64+0.8*$E$64*(1+C114)</f>
        <v>11088</v>
      </c>
      <c r="D121" s="13">
        <f t="shared" si="5"/>
        <v>14784</v>
      </c>
      <c r="E121" s="13">
        <f>0.2*$E$64+0.8*$E$64*(1+E114)</f>
        <v>18480</v>
      </c>
      <c r="F121" s="13">
        <f t="shared" ref="F121:G121" si="6">0.2*$E$64+0.8*$E$64*(1+F114)</f>
        <v>22176</v>
      </c>
      <c r="G121" s="13">
        <f t="shared" si="6"/>
        <v>25872</v>
      </c>
      <c r="H121" s="13"/>
    </row>
    <row r="122" spans="1:8" x14ac:dyDescent="0.2">
      <c r="A122" s="145" t="s">
        <v>260</v>
      </c>
      <c r="B122" s="145" t="s">
        <v>202</v>
      </c>
      <c r="C122" s="13">
        <f>SUM(C117:C121)</f>
        <v>24397.866487246152</v>
      </c>
      <c r="D122" s="13">
        <f>SUM(D117:D121)</f>
        <v>32832.477598357262</v>
      </c>
      <c r="E122" s="13">
        <f>SUM(E117:E121)</f>
        <v>41267.088709468371</v>
      </c>
      <c r="F122" s="13">
        <f>SUM(F117:F121)</f>
        <v>49701.699820579481</v>
      </c>
      <c r="G122" s="13">
        <f>SUM(G117:G121)</f>
        <v>58136.310931690597</v>
      </c>
    </row>
    <row r="123" spans="1:8" x14ac:dyDescent="0.2">
      <c r="A123" s="145" t="s">
        <v>121</v>
      </c>
      <c r="B123" s="145" t="s">
        <v>202</v>
      </c>
      <c r="C123" s="13">
        <f>$E$71</f>
        <v>5454.545454545455</v>
      </c>
      <c r="D123" s="13">
        <f>$E$71</f>
        <v>5454.545454545455</v>
      </c>
      <c r="E123" s="13">
        <f>$E$71</f>
        <v>5454.545454545455</v>
      </c>
      <c r="F123" s="13">
        <f>$E$71</f>
        <v>5454.545454545455</v>
      </c>
      <c r="G123" s="13">
        <f>$E$71</f>
        <v>5454.545454545455</v>
      </c>
    </row>
    <row r="124" spans="1:8" x14ac:dyDescent="0.2">
      <c r="A124" s="145" t="s">
        <v>261</v>
      </c>
      <c r="B124" s="145" t="s">
        <v>202</v>
      </c>
      <c r="C124" s="13">
        <f>C116+C122+C123</f>
        <v>52562.412869457039</v>
      </c>
      <c r="D124" s="13">
        <f>D116+D122+D123</f>
        <v>60997.023980568149</v>
      </c>
      <c r="E124" s="13">
        <f>E116+E122+E123</f>
        <v>69431.635091679258</v>
      </c>
      <c r="F124" s="13">
        <f>F116+F122+F123</f>
        <v>77866.246202790368</v>
      </c>
      <c r="G124" s="13">
        <f>G116+G122+G123</f>
        <v>86300.857313901492</v>
      </c>
    </row>
    <row r="125" spans="1:8" x14ac:dyDescent="0.2">
      <c r="A125" s="24" t="s">
        <v>116</v>
      </c>
      <c r="B125" s="24" t="s">
        <v>133</v>
      </c>
      <c r="C125" s="31">
        <f>(C124-$E$10)/C115/1000</f>
        <v>26.031206434728521</v>
      </c>
      <c r="D125" s="31">
        <f>(D124-$E$10)/D115/1000</f>
        <v>20.165674660189381</v>
      </c>
      <c r="E125" s="31">
        <f>(E124-$E$10)/E115/1000</f>
        <v>17.232908772919814</v>
      </c>
      <c r="F125" s="31">
        <f>(F124-$E$10)/F115/1000</f>
        <v>15.473249240558074</v>
      </c>
      <c r="G125" s="31">
        <f>(G124-$E$10)/G115/1000</f>
        <v>14.300142885650247</v>
      </c>
    </row>
    <row r="128" spans="1:8" x14ac:dyDescent="0.2">
      <c r="A128" s="172" t="s">
        <v>262</v>
      </c>
      <c r="B128" s="121"/>
      <c r="C128" s="121"/>
      <c r="D128" s="121"/>
      <c r="E128" s="121"/>
      <c r="F128" s="122"/>
    </row>
    <row r="129" spans="1:6" ht="25.5" x14ac:dyDescent="0.2">
      <c r="A129" s="123"/>
      <c r="B129" s="169"/>
      <c r="C129" s="124" t="s">
        <v>263</v>
      </c>
      <c r="D129" s="124" t="s">
        <v>223</v>
      </c>
      <c r="E129" s="124" t="s">
        <v>115</v>
      </c>
      <c r="F129" s="125" t="s">
        <v>264</v>
      </c>
    </row>
    <row r="130" spans="1:6" x14ac:dyDescent="0.2">
      <c r="A130" s="173" t="s">
        <v>274</v>
      </c>
      <c r="B130" s="169"/>
      <c r="C130" s="169"/>
      <c r="D130" s="169"/>
      <c r="E130" s="169"/>
      <c r="F130" s="127"/>
    </row>
    <row r="131" spans="1:6" x14ac:dyDescent="0.2">
      <c r="A131" s="123" t="str">
        <f>Grunduppgifter!A36</f>
        <v xml:space="preserve">Biofer 10-3-1 </v>
      </c>
      <c r="B131" s="168" t="s">
        <v>14</v>
      </c>
      <c r="C131" s="169">
        <f>Grunduppgifter!E88</f>
        <v>50</v>
      </c>
      <c r="D131" s="169"/>
      <c r="E131" s="4">
        <f>Grunduppgifter!B36</f>
        <v>3.91</v>
      </c>
      <c r="F131" s="151">
        <f>C131*E131*(1+Grunduppgifter!$B$49)</f>
        <v>234.6</v>
      </c>
    </row>
    <row r="132" spans="1:6" x14ac:dyDescent="0.2">
      <c r="A132" s="123" t="str">
        <f>Grunduppgifter!A37</f>
        <v>Biofer 9-3-4</v>
      </c>
      <c r="B132" s="168" t="s">
        <v>14</v>
      </c>
      <c r="C132" s="169">
        <f>Grunduppgifter!E89</f>
        <v>0</v>
      </c>
      <c r="D132" s="169"/>
      <c r="E132" s="4">
        <f>Grunduppgifter!B37</f>
        <v>4.16</v>
      </c>
      <c r="F132" s="151">
        <f>C132*E132*(1+Grunduppgifter!$B$49)</f>
        <v>0</v>
      </c>
    </row>
    <row r="133" spans="1:6" x14ac:dyDescent="0.2">
      <c r="A133" s="123" t="str">
        <f>Grunduppgifter!A38</f>
        <v xml:space="preserve">Biofer 6-3-12 </v>
      </c>
      <c r="B133" s="168" t="s">
        <v>14</v>
      </c>
      <c r="C133" s="24">
        <f>Grunduppgifter!E90</f>
        <v>0</v>
      </c>
      <c r="D133" s="169"/>
      <c r="E133" s="31">
        <f>Grunduppgifter!B38</f>
        <v>5.1100000000000003</v>
      </c>
      <c r="F133" s="131">
        <f>C133*E133*(1+Grunduppgifter!$B$49)</f>
        <v>0</v>
      </c>
    </row>
    <row r="134" spans="1:6" x14ac:dyDescent="0.2">
      <c r="A134" s="130" t="s">
        <v>279</v>
      </c>
      <c r="B134" s="169"/>
      <c r="C134" s="169">
        <f>SUM(C131:C133)</f>
        <v>50</v>
      </c>
      <c r="D134" s="169"/>
      <c r="E134" s="4">
        <f>F134/C134</f>
        <v>4.6920000000000002</v>
      </c>
      <c r="F134" s="128">
        <f>SUM(F131:F133)</f>
        <v>234.6</v>
      </c>
    </row>
    <row r="135" spans="1:6" x14ac:dyDescent="0.2">
      <c r="A135" s="123"/>
      <c r="B135" s="169"/>
      <c r="C135" s="169"/>
      <c r="D135" s="169"/>
      <c r="E135" s="4"/>
      <c r="F135" s="128"/>
    </row>
    <row r="136" spans="1:6" x14ac:dyDescent="0.2">
      <c r="A136" s="173" t="s">
        <v>178</v>
      </c>
      <c r="B136" s="169"/>
      <c r="C136" s="169"/>
      <c r="D136" s="169"/>
      <c r="E136" s="4"/>
      <c r="F136" s="128"/>
    </row>
    <row r="137" spans="1:6" x14ac:dyDescent="0.2">
      <c r="A137" s="123" t="s">
        <v>177</v>
      </c>
      <c r="B137" s="168" t="s">
        <v>14</v>
      </c>
      <c r="C137" s="24">
        <f>Grunduppgifter!E85</f>
        <v>10</v>
      </c>
      <c r="D137" s="169"/>
      <c r="E137" s="31">
        <f>Grunduppgifter!B39</f>
        <v>4.5599999999999996</v>
      </c>
      <c r="F137" s="131">
        <f>C137*E137*(1+Grunduppgifter!$B$49)</f>
        <v>54.719999999999992</v>
      </c>
    </row>
    <row r="138" spans="1:6" x14ac:dyDescent="0.2">
      <c r="A138" s="130" t="s">
        <v>280</v>
      </c>
      <c r="B138" s="169"/>
      <c r="C138" s="169">
        <f>SUM(C137)</f>
        <v>10</v>
      </c>
      <c r="D138" s="169"/>
      <c r="E138" s="4">
        <f>IF(C138=0,0,F138/C138)</f>
        <v>5.4719999999999995</v>
      </c>
      <c r="F138" s="128">
        <f>SUM(F137:F137)</f>
        <v>54.719999999999992</v>
      </c>
    </row>
    <row r="139" spans="1:6" x14ac:dyDescent="0.2">
      <c r="A139" s="123"/>
      <c r="B139" s="169"/>
      <c r="C139" s="169"/>
      <c r="D139" s="169"/>
      <c r="E139" s="169"/>
      <c r="F139" s="127"/>
    </row>
    <row r="140" spans="1:6" x14ac:dyDescent="0.2">
      <c r="A140" s="123"/>
      <c r="B140" s="169"/>
      <c r="C140" s="169"/>
      <c r="D140" s="169"/>
      <c r="E140" s="169"/>
      <c r="F140" s="127"/>
    </row>
    <row r="141" spans="1:6" x14ac:dyDescent="0.2">
      <c r="A141" s="173" t="s">
        <v>275</v>
      </c>
      <c r="B141" s="169"/>
      <c r="C141" s="169"/>
      <c r="D141" s="169"/>
      <c r="E141" s="169"/>
      <c r="F141" s="127"/>
    </row>
    <row r="142" spans="1:6" x14ac:dyDescent="0.2">
      <c r="A142" s="130"/>
      <c r="B142" s="168" t="s">
        <v>59</v>
      </c>
      <c r="C142" s="169"/>
      <c r="D142" s="169"/>
      <c r="E142" s="169"/>
      <c r="F142" s="131"/>
    </row>
    <row r="143" spans="1:6" x14ac:dyDescent="0.2">
      <c r="A143" s="132" t="s">
        <v>281</v>
      </c>
      <c r="B143" s="24"/>
      <c r="C143" s="24"/>
      <c r="D143" s="24"/>
      <c r="E143" s="24"/>
      <c r="F143" s="131">
        <f>SUM(F142)</f>
        <v>0</v>
      </c>
    </row>
    <row r="144" spans="1:6" x14ac:dyDescent="0.2">
      <c r="A144" s="169"/>
      <c r="B144" s="169"/>
      <c r="C144" s="169"/>
      <c r="D144" s="169"/>
      <c r="E144" s="169"/>
      <c r="F144" s="169"/>
    </row>
    <row r="145" spans="1:6" x14ac:dyDescent="0.2">
      <c r="A145" s="169"/>
      <c r="B145" s="169"/>
      <c r="C145" s="169"/>
      <c r="D145" s="169"/>
      <c r="E145" s="169"/>
      <c r="F145" s="169"/>
    </row>
    <row r="146" spans="1:6" x14ac:dyDescent="0.2">
      <c r="A146" s="174" t="s">
        <v>360</v>
      </c>
      <c r="B146" s="175" t="s">
        <v>354</v>
      </c>
      <c r="C146" s="175" t="s">
        <v>355</v>
      </c>
      <c r="D146" s="176" t="s">
        <v>356</v>
      </c>
      <c r="E146" s="169"/>
      <c r="F146" s="169"/>
    </row>
    <row r="147" spans="1:6" x14ac:dyDescent="0.2">
      <c r="A147" s="130" t="s">
        <v>361</v>
      </c>
      <c r="B147" s="180">
        <v>1.8</v>
      </c>
      <c r="C147" s="180">
        <v>0.3</v>
      </c>
      <c r="D147" s="127">
        <v>1.6</v>
      </c>
      <c r="E147" s="169"/>
      <c r="F147" s="169"/>
    </row>
    <row r="148" spans="1:6" x14ac:dyDescent="0.2">
      <c r="A148" s="173" t="s">
        <v>362</v>
      </c>
      <c r="B148" s="169">
        <f>$C$4*B147/1000</f>
        <v>9</v>
      </c>
      <c r="C148" s="169">
        <f t="shared" ref="C148:D148" si="7">$C$4*C147/1000</f>
        <v>1.5</v>
      </c>
      <c r="D148" s="127">
        <f t="shared" si="7"/>
        <v>8</v>
      </c>
      <c r="E148" s="169"/>
      <c r="F148" s="169"/>
    </row>
    <row r="149" spans="1:6" x14ac:dyDescent="0.2">
      <c r="A149" s="173" t="s">
        <v>363</v>
      </c>
      <c r="B149" s="169"/>
      <c r="C149" s="169"/>
      <c r="D149" s="127"/>
      <c r="E149" s="169"/>
      <c r="F149" s="169"/>
    </row>
    <row r="150" spans="1:6" x14ac:dyDescent="0.2">
      <c r="A150" s="123" t="str">
        <f>A18</f>
        <v>Stallgödsel</v>
      </c>
      <c r="B150" s="169">
        <f>C18*Grunduppgifter!B74</f>
        <v>2</v>
      </c>
      <c r="C150" s="169">
        <f>C18*Grunduppgifter!B75</f>
        <v>3</v>
      </c>
      <c r="D150" s="127">
        <f>C18*Grunduppgifter!B76</f>
        <v>10</v>
      </c>
      <c r="E150" s="169"/>
      <c r="F150" s="169"/>
    </row>
    <row r="151" spans="1:6" x14ac:dyDescent="0.2">
      <c r="A151" s="123" t="str">
        <f>Grunduppgifter!A36</f>
        <v xml:space="preserve">Biofer 10-3-1 </v>
      </c>
      <c r="B151" s="169">
        <f>Grunduppgifter!I74*C131</f>
        <v>5.0500000000000007</v>
      </c>
      <c r="C151" s="169">
        <f>Grunduppgifter!I75*C131</f>
        <v>1.5</v>
      </c>
      <c r="D151" s="127">
        <f>Grunduppgifter!I76*C131</f>
        <v>0.44999999999999996</v>
      </c>
      <c r="E151" s="169"/>
      <c r="F151" s="169"/>
    </row>
    <row r="152" spans="1:6" x14ac:dyDescent="0.2">
      <c r="A152" s="123" t="str">
        <f>Grunduppgifter!A37</f>
        <v>Biofer 9-3-4</v>
      </c>
      <c r="B152" s="169">
        <f>Grunduppgifter!J74*C132</f>
        <v>0</v>
      </c>
      <c r="C152" s="169">
        <f>Grunduppgifter!J75*C132</f>
        <v>0</v>
      </c>
      <c r="D152" s="127">
        <f>Grunduppgifter!J76*C132</f>
        <v>0</v>
      </c>
      <c r="E152" s="169"/>
      <c r="F152" s="169"/>
    </row>
    <row r="153" spans="1:6" x14ac:dyDescent="0.2">
      <c r="A153" s="123" t="str">
        <f>Grunduppgifter!A38</f>
        <v xml:space="preserve">Biofer 6-3-12 </v>
      </c>
      <c r="B153" s="169">
        <f>Grunduppgifter!K74*C133</f>
        <v>0</v>
      </c>
      <c r="C153" s="169">
        <f>Grunduppgifter!K75*C133</f>
        <v>0</v>
      </c>
      <c r="D153" s="127">
        <f>Grunduppgifter!K76*C133</f>
        <v>0</v>
      </c>
      <c r="E153" s="169"/>
      <c r="F153" s="169"/>
    </row>
    <row r="154" spans="1:6" x14ac:dyDescent="0.2">
      <c r="A154" s="123" t="str">
        <f>A137</f>
        <v>Kalimagnesia 25-6</v>
      </c>
      <c r="B154" s="169"/>
      <c r="C154" s="169"/>
      <c r="D154" s="127">
        <f>Grunduppgifter!F76*C137</f>
        <v>2.5</v>
      </c>
      <c r="E154" s="169"/>
      <c r="F154" s="169"/>
    </row>
    <row r="155" spans="1:6" x14ac:dyDescent="0.2">
      <c r="A155" s="123" t="s">
        <v>365</v>
      </c>
      <c r="B155" s="169">
        <f>'Gröngödsling 1'!C6*Grunduppgifter!E91</f>
        <v>2</v>
      </c>
      <c r="C155" s="169"/>
      <c r="D155" s="127"/>
      <c r="E155" s="169"/>
      <c r="F155" s="169"/>
    </row>
    <row r="156" spans="1:6" x14ac:dyDescent="0.2">
      <c r="A156" s="123" t="s">
        <v>366</v>
      </c>
      <c r="B156" s="169">
        <f>SUM(B150:B155)</f>
        <v>9.0500000000000007</v>
      </c>
      <c r="C156" s="169">
        <f t="shared" ref="C156:D156" si="8">SUM(C150:C155)</f>
        <v>4.5</v>
      </c>
      <c r="D156" s="127">
        <f t="shared" si="8"/>
        <v>12.95</v>
      </c>
      <c r="E156" s="169"/>
      <c r="F156" s="169"/>
    </row>
    <row r="157" spans="1:6" x14ac:dyDescent="0.2">
      <c r="A157" s="177" t="s">
        <v>367</v>
      </c>
      <c r="B157" s="24">
        <f>B156-B148</f>
        <v>5.0000000000000711E-2</v>
      </c>
      <c r="C157" s="24">
        <f t="shared" ref="C157:D157" si="9">C156-C148</f>
        <v>3</v>
      </c>
      <c r="D157" s="178">
        <f t="shared" si="9"/>
        <v>4.9499999999999993</v>
      </c>
      <c r="E157" s="169"/>
      <c r="F157" s="169"/>
    </row>
  </sheetData>
  <mergeCells count="2">
    <mergeCell ref="K3:S3"/>
    <mergeCell ref="K6:S6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9319F-A95C-425E-BA28-36A243CAF9B4}">
  <dimension ref="A1:U157"/>
  <sheetViews>
    <sheetView zoomScale="75" zoomScaleNormal="75" workbookViewId="0">
      <selection activeCell="K67" sqref="K67:K68"/>
    </sheetView>
  </sheetViews>
  <sheetFormatPr defaultRowHeight="12.75" x14ac:dyDescent="0.2"/>
  <cols>
    <col min="1" max="1" width="35.42578125" style="148" customWidth="1"/>
    <col min="2" max="2" width="9.140625" style="148"/>
    <col min="3" max="4" width="12" style="148" bestFit="1" customWidth="1"/>
    <col min="5" max="5" width="11" style="148" bestFit="1" customWidth="1"/>
    <col min="6" max="6" width="12.42578125" style="148" bestFit="1" customWidth="1"/>
    <col min="7" max="7" width="11" style="148" bestFit="1" customWidth="1"/>
    <col min="8" max="8" width="9.140625" style="148"/>
    <col min="9" max="9" width="12" style="148" bestFit="1" customWidth="1"/>
    <col min="10" max="16384" width="9.140625" style="148"/>
  </cols>
  <sheetData>
    <row r="1" spans="1:21" ht="15.75" x14ac:dyDescent="0.25">
      <c r="A1" s="20" t="s">
        <v>219</v>
      </c>
      <c r="B1" s="20" t="s">
        <v>60</v>
      </c>
      <c r="C1" s="20"/>
      <c r="D1" s="20" t="s">
        <v>114</v>
      </c>
      <c r="E1" s="21"/>
      <c r="F1" s="20"/>
      <c r="G1" s="20"/>
      <c r="H1" s="21"/>
      <c r="I1" s="21"/>
      <c r="J1" s="21"/>
      <c r="K1" s="20" t="s">
        <v>301</v>
      </c>
      <c r="L1" s="21"/>
      <c r="M1" s="21"/>
      <c r="N1" s="21"/>
      <c r="O1" s="21"/>
      <c r="P1" s="21"/>
      <c r="Q1" s="21"/>
      <c r="R1" s="21"/>
      <c r="S1" s="21"/>
      <c r="T1" s="21"/>
      <c r="U1" s="21"/>
    </row>
    <row r="3" spans="1:21" x14ac:dyDescent="0.2">
      <c r="A3" s="62" t="s">
        <v>104</v>
      </c>
      <c r="C3" s="13">
        <v>1000</v>
      </c>
      <c r="D3" s="146" t="s">
        <v>283</v>
      </c>
      <c r="K3" s="222"/>
      <c r="L3" s="222"/>
      <c r="M3" s="222"/>
      <c r="N3" s="222"/>
      <c r="O3" s="222"/>
      <c r="P3" s="222"/>
      <c r="Q3" s="222"/>
      <c r="R3" s="222"/>
      <c r="S3" s="222"/>
    </row>
    <row r="4" spans="1:21" x14ac:dyDescent="0.2">
      <c r="A4" s="62" t="s">
        <v>4</v>
      </c>
      <c r="C4" s="13">
        <f>Grunduppgifter!C10</f>
        <v>1000</v>
      </c>
      <c r="D4" s="146" t="s">
        <v>271</v>
      </c>
    </row>
    <row r="5" spans="1:21" x14ac:dyDescent="0.2">
      <c r="A5" s="62" t="s">
        <v>96</v>
      </c>
      <c r="C5" s="2">
        <f>Grunduppgifter!D10</f>
        <v>0.95</v>
      </c>
    </row>
    <row r="6" spans="1:21" x14ac:dyDescent="0.2">
      <c r="B6" s="146"/>
      <c r="C6" s="3"/>
      <c r="K6" s="223"/>
      <c r="L6" s="224"/>
      <c r="M6" s="224"/>
      <c r="N6" s="224"/>
      <c r="O6" s="224"/>
      <c r="P6" s="224"/>
      <c r="Q6" s="224"/>
      <c r="R6" s="224"/>
      <c r="S6" s="224"/>
    </row>
    <row r="7" spans="1:21" x14ac:dyDescent="0.2">
      <c r="A7" s="24"/>
      <c r="B7" s="30" t="s">
        <v>122</v>
      </c>
      <c r="C7" s="49" t="s">
        <v>6</v>
      </c>
      <c r="D7" s="49" t="s">
        <v>115</v>
      </c>
      <c r="E7" s="49" t="s">
        <v>7</v>
      </c>
      <c r="F7" s="24"/>
      <c r="G7" s="24"/>
      <c r="H7" s="30" t="s">
        <v>124</v>
      </c>
      <c r="I7" s="147"/>
      <c r="J7" s="3"/>
    </row>
    <row r="8" spans="1:21" x14ac:dyDescent="0.2">
      <c r="A8" s="147" t="s">
        <v>5</v>
      </c>
      <c r="B8" s="3"/>
      <c r="C8" s="10"/>
      <c r="D8" s="10"/>
      <c r="E8" s="10"/>
      <c r="H8" s="3"/>
      <c r="I8" s="3"/>
      <c r="J8" s="3"/>
    </row>
    <row r="9" spans="1:21" x14ac:dyDescent="0.2">
      <c r="A9" s="179" t="s">
        <v>387</v>
      </c>
      <c r="B9" s="148" t="s">
        <v>14</v>
      </c>
      <c r="C9" s="39">
        <f>C4*C5</f>
        <v>950</v>
      </c>
      <c r="D9" s="106">
        <f>(E66+E71-E10)/C9</f>
        <v>58.52238879460085</v>
      </c>
      <c r="E9" s="13">
        <f>C9*D9</f>
        <v>55596.269354870805</v>
      </c>
      <c r="H9" s="192" t="s">
        <v>116</v>
      </c>
      <c r="J9" s="12"/>
    </row>
    <row r="10" spans="1:21" x14ac:dyDescent="0.2">
      <c r="A10" s="24" t="s">
        <v>61</v>
      </c>
      <c r="B10" s="24"/>
      <c r="C10" s="24">
        <v>0.1</v>
      </c>
      <c r="D10" s="35">
        <f>Grunduppgifter!B61</f>
        <v>5000</v>
      </c>
      <c r="E10" s="26">
        <f>C10*D10</f>
        <v>500</v>
      </c>
      <c r="F10" s="24"/>
      <c r="G10" s="24"/>
      <c r="H10" s="24"/>
      <c r="J10" s="12"/>
    </row>
    <row r="11" spans="1:21" x14ac:dyDescent="0.2">
      <c r="A11" s="147" t="s">
        <v>118</v>
      </c>
      <c r="B11" s="147"/>
      <c r="C11" s="147"/>
      <c r="D11" s="44"/>
      <c r="E11" s="39">
        <f>SUM(E9:E10)</f>
        <v>56096.269354870805</v>
      </c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T11" s="147"/>
      <c r="U11" s="147"/>
    </row>
    <row r="12" spans="1:21" x14ac:dyDescent="0.2">
      <c r="D12" s="4"/>
      <c r="E12" s="9"/>
    </row>
    <row r="13" spans="1:21" x14ac:dyDescent="0.2">
      <c r="A13" s="147" t="s">
        <v>220</v>
      </c>
      <c r="D13" s="4"/>
      <c r="E13" s="9"/>
    </row>
    <row r="14" spans="1:21" x14ac:dyDescent="0.2">
      <c r="A14" s="146" t="s">
        <v>221</v>
      </c>
      <c r="B14" s="148" t="s">
        <v>11</v>
      </c>
      <c r="C14" s="14">
        <f>D89</f>
        <v>23.2</v>
      </c>
      <c r="D14" s="9">
        <f>Grunduppgifter!B25</f>
        <v>283</v>
      </c>
      <c r="E14" s="13">
        <f t="shared" ref="E14:E33" si="0">C14*D14</f>
        <v>6565.5999999999995</v>
      </c>
      <c r="H14" s="148" t="s">
        <v>272</v>
      </c>
      <c r="O14" s="4"/>
      <c r="P14" s="4"/>
    </row>
    <row r="15" spans="1:21" x14ac:dyDescent="0.2">
      <c r="A15" s="146" t="s">
        <v>222</v>
      </c>
      <c r="B15" s="148" t="s">
        <v>11</v>
      </c>
      <c r="C15" s="14">
        <f>C89</f>
        <v>29.8</v>
      </c>
      <c r="D15" s="9">
        <f>Grunduppgifter!B26</f>
        <v>186</v>
      </c>
      <c r="E15" s="13">
        <f t="shared" si="0"/>
        <v>5542.8</v>
      </c>
      <c r="H15" s="148" t="s">
        <v>272</v>
      </c>
    </row>
    <row r="16" spans="1:21" x14ac:dyDescent="0.2">
      <c r="A16" s="148" t="s">
        <v>54</v>
      </c>
      <c r="B16" s="148" t="s">
        <v>12</v>
      </c>
      <c r="C16" s="13">
        <v>4000</v>
      </c>
      <c r="D16" s="4">
        <v>0.8</v>
      </c>
      <c r="E16" s="13">
        <f t="shared" si="0"/>
        <v>3200</v>
      </c>
      <c r="J16" s="4"/>
      <c r="M16" s="13"/>
      <c r="N16" s="13"/>
      <c r="O16" s="13"/>
      <c r="P16" s="13"/>
      <c r="Q16" s="13"/>
    </row>
    <row r="17" spans="1:17" x14ac:dyDescent="0.2">
      <c r="A17" s="150" t="str">
        <f>Grunduppgifter!A33</f>
        <v>Fiberduk</v>
      </c>
      <c r="B17" s="148" t="s">
        <v>283</v>
      </c>
      <c r="C17" s="96">
        <v>400</v>
      </c>
      <c r="D17" s="4">
        <f>Grunduppgifter!B33</f>
        <v>1.2</v>
      </c>
      <c r="E17" s="13">
        <f t="shared" si="0"/>
        <v>480</v>
      </c>
      <c r="H17" s="193" t="s">
        <v>411</v>
      </c>
      <c r="M17" s="13"/>
      <c r="N17" s="13"/>
      <c r="O17" s="13"/>
      <c r="P17" s="13"/>
      <c r="Q17" s="13"/>
    </row>
    <row r="18" spans="1:17" x14ac:dyDescent="0.2">
      <c r="A18" s="150" t="str">
        <f>Grunduppgifter!A35</f>
        <v>Stallgödsel</v>
      </c>
      <c r="B18" s="148" t="s">
        <v>14</v>
      </c>
      <c r="C18" s="13">
        <f>Grunduppgifter!F81</f>
        <v>2000</v>
      </c>
      <c r="D18" s="4">
        <f>Grunduppgifter!B35</f>
        <v>0.2</v>
      </c>
      <c r="E18" s="13">
        <f t="shared" si="0"/>
        <v>400</v>
      </c>
    </row>
    <row r="19" spans="1:17" x14ac:dyDescent="0.2">
      <c r="A19" s="148" t="s">
        <v>67</v>
      </c>
      <c r="C19" s="148">
        <v>1</v>
      </c>
      <c r="D19" s="13">
        <f>Grunduppgifter!B63</f>
        <v>1025.9546363636364</v>
      </c>
      <c r="E19" s="13">
        <f t="shared" si="0"/>
        <v>1025.9546363636364</v>
      </c>
      <c r="H19" s="148" t="s">
        <v>273</v>
      </c>
    </row>
    <row r="20" spans="1:17" x14ac:dyDescent="0.2">
      <c r="A20" s="148" t="s">
        <v>274</v>
      </c>
      <c r="C20" s="169">
        <f>C134</f>
        <v>100</v>
      </c>
      <c r="D20" s="4">
        <f>E134</f>
        <v>4.6920000000000002</v>
      </c>
      <c r="E20" s="13">
        <f t="shared" si="0"/>
        <v>469.20000000000005</v>
      </c>
    </row>
    <row r="21" spans="1:17" x14ac:dyDescent="0.2">
      <c r="A21" s="146" t="s">
        <v>178</v>
      </c>
      <c r="C21" s="169">
        <f>C138</f>
        <v>10</v>
      </c>
      <c r="D21" s="4">
        <f>E138</f>
        <v>5.4719999999999995</v>
      </c>
      <c r="E21" s="13">
        <f t="shared" si="0"/>
        <v>54.72</v>
      </c>
    </row>
    <row r="22" spans="1:17" x14ac:dyDescent="0.2">
      <c r="A22" s="146" t="s">
        <v>275</v>
      </c>
      <c r="C22" s="169">
        <v>1</v>
      </c>
      <c r="D22" s="4">
        <f>F144</f>
        <v>106.75</v>
      </c>
      <c r="E22" s="13">
        <f t="shared" si="0"/>
        <v>106.75</v>
      </c>
    </row>
    <row r="23" spans="1:17" x14ac:dyDescent="0.2">
      <c r="A23" s="148" t="s">
        <v>119</v>
      </c>
      <c r="B23" s="148" t="s">
        <v>11</v>
      </c>
      <c r="C23" s="148">
        <f>SUM(F79:F88)</f>
        <v>5</v>
      </c>
      <c r="D23" s="4">
        <f>Grunduppgifter!B30</f>
        <v>100</v>
      </c>
      <c r="E23" s="13">
        <f t="shared" si="0"/>
        <v>500</v>
      </c>
    </row>
    <row r="24" spans="1:17" x14ac:dyDescent="0.2">
      <c r="A24" s="148" t="s">
        <v>15</v>
      </c>
      <c r="B24" s="148" t="s">
        <v>16</v>
      </c>
      <c r="C24" s="107">
        <v>60</v>
      </c>
      <c r="D24" s="4">
        <f>Grunduppgifter!B31</f>
        <v>0.96</v>
      </c>
      <c r="E24" s="13">
        <f t="shared" si="0"/>
        <v>57.599999999999994</v>
      </c>
    </row>
    <row r="25" spans="1:17" x14ac:dyDescent="0.2">
      <c r="A25" s="148" t="s">
        <v>100</v>
      </c>
      <c r="B25" s="148" t="s">
        <v>14</v>
      </c>
      <c r="C25" s="107">
        <v>0</v>
      </c>
      <c r="D25" s="4">
        <f>Grunduppgifter!B32</f>
        <v>25</v>
      </c>
      <c r="E25" s="13">
        <f t="shared" si="0"/>
        <v>0</v>
      </c>
    </row>
    <row r="26" spans="1:17" x14ac:dyDescent="0.2">
      <c r="A26" s="149" t="str">
        <f>Grunduppgifter!A46</f>
        <v>Analyser</v>
      </c>
      <c r="B26" s="148" t="s">
        <v>12</v>
      </c>
      <c r="C26" s="107">
        <v>0.1</v>
      </c>
      <c r="D26" s="4">
        <f>Grunduppgifter!B46</f>
        <v>400</v>
      </c>
      <c r="E26" s="13">
        <f t="shared" si="0"/>
        <v>40</v>
      </c>
    </row>
    <row r="27" spans="1:17" x14ac:dyDescent="0.2">
      <c r="A27" s="29" t="str">
        <f>Grunduppgifter!A69</f>
        <v>Ränta rörelsekapital</v>
      </c>
      <c r="B27" s="24" t="s">
        <v>20</v>
      </c>
      <c r="C27" s="26">
        <f>SUM(E14:E26)</f>
        <v>18442.624636363635</v>
      </c>
      <c r="D27" s="108">
        <f>Grunduppgifter!B69</f>
        <v>0.02</v>
      </c>
      <c r="E27" s="26">
        <f t="shared" si="0"/>
        <v>368.8524927272727</v>
      </c>
      <c r="F27" s="24"/>
      <c r="G27" s="24"/>
      <c r="H27" s="24"/>
    </row>
    <row r="28" spans="1:17" x14ac:dyDescent="0.2">
      <c r="A28" s="147" t="s">
        <v>224</v>
      </c>
      <c r="D28" s="4"/>
      <c r="E28" s="39">
        <f>SUM(E14:E27)</f>
        <v>18811.477129090908</v>
      </c>
    </row>
    <row r="29" spans="1:17" x14ac:dyDescent="0.2">
      <c r="A29" s="147"/>
      <c r="D29" s="4"/>
      <c r="E29" s="39"/>
    </row>
    <row r="30" spans="1:17" x14ac:dyDescent="0.2">
      <c r="A30" s="146" t="s">
        <v>276</v>
      </c>
      <c r="C30" s="148">
        <v>0.1</v>
      </c>
      <c r="D30" s="13">
        <f>'Maskiner 1'!F32</f>
        <v>24747.136173216168</v>
      </c>
      <c r="E30" s="13">
        <f t="shared" si="0"/>
        <v>2474.7136173216168</v>
      </c>
    </row>
    <row r="31" spans="1:17" x14ac:dyDescent="0.2">
      <c r="A31" s="146" t="s">
        <v>225</v>
      </c>
      <c r="C31" s="148">
        <v>0.1</v>
      </c>
      <c r="D31" s="13">
        <f>'Maskiner 1'!K30/2</f>
        <v>7115.6718125290399</v>
      </c>
      <c r="E31" s="13">
        <f t="shared" si="0"/>
        <v>711.56718125290399</v>
      </c>
    </row>
    <row r="32" spans="1:17" x14ac:dyDescent="0.2">
      <c r="A32" s="148" t="s">
        <v>25</v>
      </c>
      <c r="C32" s="148">
        <v>0.1</v>
      </c>
      <c r="D32" s="13">
        <f>Grunduppgifter!B60</f>
        <v>6000</v>
      </c>
      <c r="E32" s="13">
        <f t="shared" si="0"/>
        <v>600</v>
      </c>
    </row>
    <row r="33" spans="1:21" x14ac:dyDescent="0.2">
      <c r="A33" s="29" t="s">
        <v>399</v>
      </c>
      <c r="B33" s="24"/>
      <c r="C33" s="31">
        <f>0.1/Grunduppgifter!B20</f>
        <v>3.3333333333333333E-2</v>
      </c>
      <c r="D33" s="26">
        <f>Grunduppgifter!B64</f>
        <v>4500</v>
      </c>
      <c r="E33" s="26">
        <f t="shared" si="0"/>
        <v>150</v>
      </c>
      <c r="F33" s="24"/>
      <c r="G33" s="24"/>
      <c r="H33" s="24"/>
    </row>
    <row r="34" spans="1:21" x14ac:dyDescent="0.2">
      <c r="A34" s="147" t="s">
        <v>226</v>
      </c>
      <c r="D34" s="4"/>
      <c r="E34" s="13">
        <f>SUM(E30:E33)</f>
        <v>3936.2807985745208</v>
      </c>
    </row>
    <row r="35" spans="1:21" x14ac:dyDescent="0.2">
      <c r="A35" s="147" t="s">
        <v>227</v>
      </c>
      <c r="D35" s="4"/>
      <c r="E35" s="39">
        <f>SUM(E28:E33)</f>
        <v>22747.757927665429</v>
      </c>
    </row>
    <row r="36" spans="1:21" x14ac:dyDescent="0.2">
      <c r="A36" s="147"/>
      <c r="D36" s="4"/>
      <c r="E36" s="13"/>
    </row>
    <row r="37" spans="1:21" x14ac:dyDescent="0.2">
      <c r="A37" s="147" t="s">
        <v>36</v>
      </c>
      <c r="D37" s="4"/>
      <c r="E37" s="13"/>
    </row>
    <row r="38" spans="1:21" x14ac:dyDescent="0.2">
      <c r="A38" s="146" t="s">
        <v>221</v>
      </c>
      <c r="B38" s="148" t="s">
        <v>11</v>
      </c>
      <c r="C38" s="9">
        <f>D91</f>
        <v>8</v>
      </c>
      <c r="D38" s="9">
        <f>Grunduppgifter!B25</f>
        <v>283</v>
      </c>
      <c r="E38" s="13">
        <f>C38*D38</f>
        <v>2264</v>
      </c>
      <c r="H38" s="148" t="s">
        <v>272</v>
      </c>
    </row>
    <row r="39" spans="1:21" x14ac:dyDescent="0.2">
      <c r="A39" s="146" t="s">
        <v>222</v>
      </c>
      <c r="B39" s="148" t="s">
        <v>11</v>
      </c>
      <c r="C39" s="9">
        <f>C91</f>
        <v>32</v>
      </c>
      <c r="D39" s="9">
        <f>Grunduppgifter!B26</f>
        <v>186</v>
      </c>
      <c r="E39" s="13">
        <f>C39*D39</f>
        <v>5952</v>
      </c>
    </row>
    <row r="40" spans="1:21" x14ac:dyDescent="0.2">
      <c r="A40" s="148" t="s">
        <v>228</v>
      </c>
      <c r="C40" s="148">
        <v>0.1</v>
      </c>
      <c r="D40" s="13"/>
      <c r="E40" s="13">
        <f>C40*D40</f>
        <v>0</v>
      </c>
    </row>
    <row r="41" spans="1:21" x14ac:dyDescent="0.2">
      <c r="A41" s="29" t="s">
        <v>229</v>
      </c>
      <c r="B41" s="24" t="s">
        <v>11</v>
      </c>
      <c r="C41" s="26">
        <f>SUM(F91:F93)</f>
        <v>1.9200000000000002</v>
      </c>
      <c r="D41" s="26">
        <f>Grunduppgifter!B30</f>
        <v>100</v>
      </c>
      <c r="E41" s="26">
        <f>C41*D41</f>
        <v>192.00000000000003</v>
      </c>
      <c r="F41" s="24"/>
      <c r="G41" s="24"/>
      <c r="H41" s="24"/>
    </row>
    <row r="42" spans="1:21" x14ac:dyDescent="0.2">
      <c r="A42" s="147" t="s">
        <v>230</v>
      </c>
      <c r="B42" s="147"/>
      <c r="C42" s="147"/>
      <c r="D42" s="147"/>
      <c r="E42" s="39">
        <f>SUM(E38:E41)</f>
        <v>8408</v>
      </c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T42" s="147"/>
      <c r="U42" s="147"/>
    </row>
    <row r="43" spans="1:21" x14ac:dyDescent="0.2">
      <c r="A43" s="147"/>
      <c r="B43" s="147"/>
      <c r="C43" s="147"/>
      <c r="D43" s="147"/>
      <c r="E43" s="39"/>
      <c r="F43" s="147"/>
      <c r="G43" s="147"/>
      <c r="H43" s="147"/>
      <c r="I43" s="147"/>
      <c r="J43" s="147"/>
      <c r="M43" s="4"/>
      <c r="N43" s="4"/>
      <c r="O43" s="4"/>
      <c r="P43" s="4"/>
      <c r="Q43" s="4"/>
      <c r="R43" s="147"/>
      <c r="T43" s="147"/>
      <c r="U43" s="147"/>
    </row>
    <row r="44" spans="1:21" x14ac:dyDescent="0.2">
      <c r="A44" s="147" t="s">
        <v>231</v>
      </c>
      <c r="B44" s="147"/>
      <c r="C44" s="147"/>
      <c r="D44" s="147"/>
      <c r="E44" s="39"/>
      <c r="F44" s="147"/>
      <c r="G44" s="147"/>
      <c r="H44" s="147"/>
      <c r="I44" s="147"/>
      <c r="J44" s="147"/>
      <c r="M44" s="4"/>
      <c r="N44" s="4"/>
      <c r="O44" s="4"/>
      <c r="P44" s="4"/>
      <c r="Q44" s="4"/>
      <c r="R44" s="147"/>
      <c r="T44" s="147"/>
      <c r="U44" s="147"/>
    </row>
    <row r="45" spans="1:21" x14ac:dyDescent="0.2">
      <c r="A45" s="146" t="s">
        <v>232</v>
      </c>
      <c r="B45" s="148" t="s">
        <v>11</v>
      </c>
      <c r="C45" s="148">
        <f>D92</f>
        <v>0</v>
      </c>
      <c r="D45" s="9">
        <f>Grunduppgifter!B25</f>
        <v>283</v>
      </c>
      <c r="E45" s="13">
        <f>C45*D45</f>
        <v>0</v>
      </c>
      <c r="I45" s="147"/>
      <c r="J45" s="147"/>
      <c r="M45" s="4"/>
      <c r="N45" s="4"/>
      <c r="O45" s="4"/>
      <c r="P45" s="4"/>
      <c r="Q45" s="4"/>
      <c r="R45" s="147"/>
      <c r="T45" s="147"/>
      <c r="U45" s="147"/>
    </row>
    <row r="46" spans="1:21" x14ac:dyDescent="0.2">
      <c r="A46" s="146" t="s">
        <v>58</v>
      </c>
      <c r="B46" s="148" t="s">
        <v>16</v>
      </c>
      <c r="C46" s="96">
        <v>0</v>
      </c>
      <c r="D46" s="4">
        <f>Grunduppgifter!B31</f>
        <v>0.96</v>
      </c>
      <c r="E46" s="13">
        <f>D46*C46</f>
        <v>0</v>
      </c>
      <c r="I46" s="147"/>
      <c r="J46" s="147"/>
      <c r="M46" s="4"/>
      <c r="N46" s="4"/>
      <c r="O46" s="4"/>
      <c r="P46" s="4"/>
      <c r="Q46" s="4"/>
      <c r="R46" s="147"/>
      <c r="T46" s="147"/>
      <c r="U46" s="147"/>
    </row>
    <row r="47" spans="1:21" x14ac:dyDescent="0.2">
      <c r="A47" s="148" t="s">
        <v>233</v>
      </c>
      <c r="C47" s="136">
        <v>0</v>
      </c>
      <c r="D47" s="13">
        <f>'Maskiner 1'!K30/2</f>
        <v>7115.6718125290399</v>
      </c>
      <c r="E47" s="13">
        <f>D47*C47</f>
        <v>0</v>
      </c>
      <c r="I47" s="147"/>
      <c r="J47" s="147"/>
      <c r="M47" s="4"/>
      <c r="N47" s="4"/>
      <c r="O47" s="4"/>
      <c r="P47" s="4"/>
      <c r="Q47" s="4"/>
      <c r="R47" s="147"/>
      <c r="T47" s="147"/>
      <c r="U47" s="147"/>
    </row>
    <row r="48" spans="1:21" x14ac:dyDescent="0.2">
      <c r="A48" s="24" t="str">
        <f>Grunduppgifter!A47</f>
        <v>Lagerlådor</v>
      </c>
      <c r="B48" s="27" t="s">
        <v>14</v>
      </c>
      <c r="C48" s="26">
        <v>0</v>
      </c>
      <c r="D48" s="31">
        <f>Grunduppgifter!B47</f>
        <v>0.12</v>
      </c>
      <c r="E48" s="26">
        <f>D48*C48</f>
        <v>0</v>
      </c>
      <c r="F48" s="24"/>
      <c r="G48" s="24"/>
      <c r="H48" s="24"/>
      <c r="I48" s="147"/>
      <c r="J48" s="147"/>
      <c r="M48" s="4"/>
      <c r="N48" s="4"/>
      <c r="O48" s="4"/>
      <c r="P48" s="4"/>
      <c r="Q48" s="4"/>
      <c r="R48" s="147"/>
      <c r="T48" s="147"/>
      <c r="U48" s="147"/>
    </row>
    <row r="49" spans="1:21" x14ac:dyDescent="0.2">
      <c r="A49" s="147" t="s">
        <v>234</v>
      </c>
      <c r="C49" s="13"/>
      <c r="D49" s="4"/>
      <c r="E49" s="39">
        <f>SUM(E45:E48)</f>
        <v>0</v>
      </c>
      <c r="I49" s="147"/>
      <c r="J49" s="147"/>
      <c r="M49" s="4"/>
      <c r="N49" s="4"/>
      <c r="O49" s="4"/>
      <c r="P49" s="4"/>
      <c r="Q49" s="4"/>
      <c r="R49" s="147"/>
      <c r="T49" s="147"/>
      <c r="U49" s="147"/>
    </row>
    <row r="50" spans="1:21" x14ac:dyDescent="0.2">
      <c r="A50" s="146"/>
      <c r="C50" s="13"/>
      <c r="D50" s="4"/>
      <c r="E50" s="13"/>
      <c r="I50" s="147"/>
      <c r="J50" s="147"/>
      <c r="M50" s="4"/>
      <c r="N50" s="4"/>
      <c r="O50" s="4"/>
      <c r="P50" s="4"/>
      <c r="Q50" s="4"/>
      <c r="R50" s="147"/>
      <c r="T50" s="147"/>
      <c r="U50" s="147"/>
    </row>
    <row r="51" spans="1:21" x14ac:dyDescent="0.2">
      <c r="A51" s="147" t="s">
        <v>235</v>
      </c>
      <c r="C51" s="13"/>
      <c r="D51" s="4"/>
      <c r="E51" s="13"/>
      <c r="I51" s="147"/>
      <c r="J51" s="147"/>
      <c r="M51" s="4"/>
      <c r="N51" s="4"/>
      <c r="O51" s="4"/>
      <c r="P51" s="4"/>
      <c r="Q51" s="4"/>
      <c r="R51" s="147"/>
      <c r="T51" s="147"/>
      <c r="U51" s="147"/>
    </row>
    <row r="52" spans="1:21" x14ac:dyDescent="0.2">
      <c r="A52" s="146" t="s">
        <v>221</v>
      </c>
      <c r="B52" s="148" t="s">
        <v>11</v>
      </c>
      <c r="C52" s="148">
        <f>D93</f>
        <v>0</v>
      </c>
      <c r="D52" s="9">
        <f>Grunduppgifter!B25</f>
        <v>283</v>
      </c>
      <c r="E52" s="13">
        <f>C52*D52</f>
        <v>0</v>
      </c>
      <c r="I52" s="147"/>
      <c r="J52" s="147"/>
      <c r="M52" s="4"/>
      <c r="N52" s="4"/>
      <c r="O52" s="4"/>
      <c r="P52" s="4"/>
      <c r="Q52" s="4"/>
      <c r="R52" s="147"/>
      <c r="T52" s="147"/>
      <c r="U52" s="147"/>
    </row>
    <row r="53" spans="1:21" x14ac:dyDescent="0.2">
      <c r="A53" s="146" t="s">
        <v>222</v>
      </c>
      <c r="B53" s="148" t="s">
        <v>11</v>
      </c>
      <c r="C53" s="148">
        <f>C93</f>
        <v>0</v>
      </c>
      <c r="D53" s="9">
        <f>Grunduppgifter!B26</f>
        <v>186</v>
      </c>
      <c r="E53" s="13">
        <f>C53*D53</f>
        <v>0</v>
      </c>
      <c r="I53" s="147"/>
      <c r="J53" s="147"/>
      <c r="M53" s="4"/>
      <c r="N53" s="4"/>
      <c r="O53" s="4"/>
      <c r="P53" s="4"/>
      <c r="Q53" s="4"/>
      <c r="R53" s="147"/>
      <c r="T53" s="147"/>
      <c r="U53" s="147"/>
    </row>
    <row r="54" spans="1:21" x14ac:dyDescent="0.2">
      <c r="A54" s="148" t="s">
        <v>267</v>
      </c>
      <c r="C54" s="148">
        <v>0.1</v>
      </c>
      <c r="D54" s="13"/>
      <c r="E54" s="13">
        <f>C54*D54</f>
        <v>0</v>
      </c>
      <c r="I54" s="147"/>
      <c r="J54" s="147"/>
      <c r="M54" s="4"/>
      <c r="N54" s="4"/>
      <c r="O54" s="4"/>
      <c r="P54" s="4"/>
      <c r="Q54" s="4"/>
      <c r="R54" s="147"/>
      <c r="T54" s="147"/>
      <c r="U54" s="147"/>
    </row>
    <row r="55" spans="1:21" x14ac:dyDescent="0.2">
      <c r="A55" s="146" t="s">
        <v>236</v>
      </c>
      <c r="C55" s="148">
        <v>0.1</v>
      </c>
      <c r="D55" s="13">
        <f>'Maskiner 1'!J30</f>
        <v>6566.3263932658247</v>
      </c>
      <c r="E55" s="13">
        <f>C55*D55</f>
        <v>656.63263932658253</v>
      </c>
      <c r="I55" s="147"/>
      <c r="J55" s="147"/>
      <c r="M55" s="4"/>
      <c r="N55" s="4"/>
      <c r="O55" s="4"/>
      <c r="P55" s="4"/>
      <c r="Q55" s="4"/>
      <c r="R55" s="147"/>
      <c r="T55" s="147"/>
      <c r="U55" s="147"/>
    </row>
    <row r="56" spans="1:21" x14ac:dyDescent="0.2">
      <c r="A56" s="146" t="s">
        <v>237</v>
      </c>
      <c r="B56" s="148" t="s">
        <v>16</v>
      </c>
      <c r="C56" s="96">
        <v>100</v>
      </c>
      <c r="D56" s="4">
        <f>Grunduppgifter!B31</f>
        <v>0.96</v>
      </c>
      <c r="E56" s="13">
        <f>D56*C56</f>
        <v>96</v>
      </c>
      <c r="I56" s="147"/>
      <c r="J56" s="147"/>
      <c r="M56" s="4"/>
      <c r="N56" s="4"/>
      <c r="O56" s="4"/>
      <c r="P56" s="4"/>
      <c r="Q56" s="4"/>
      <c r="R56" s="147"/>
      <c r="T56" s="147"/>
      <c r="U56" s="147"/>
    </row>
    <row r="57" spans="1:21" x14ac:dyDescent="0.2">
      <c r="A57" s="146" t="s">
        <v>268</v>
      </c>
      <c r="B57" s="148" t="s">
        <v>269</v>
      </c>
      <c r="C57" s="13">
        <f>C9</f>
        <v>950</v>
      </c>
      <c r="D57" s="4">
        <v>0</v>
      </c>
      <c r="E57" s="13">
        <f>C57*D57</f>
        <v>0</v>
      </c>
      <c r="I57" s="147"/>
      <c r="J57" s="147"/>
      <c r="M57" s="4"/>
      <c r="N57" s="4"/>
      <c r="O57" s="4"/>
      <c r="P57" s="4"/>
      <c r="Q57" s="4"/>
      <c r="R57" s="147"/>
      <c r="T57" s="147"/>
      <c r="U57" s="147"/>
    </row>
    <row r="58" spans="1:21" x14ac:dyDescent="0.2">
      <c r="A58" s="29" t="s">
        <v>303</v>
      </c>
      <c r="B58" s="24" t="s">
        <v>120</v>
      </c>
      <c r="C58" s="26">
        <f>C9/6</f>
        <v>158.33333333333334</v>
      </c>
      <c r="D58" s="31">
        <v>1.6</v>
      </c>
      <c r="E58" s="26">
        <f>C58*D58</f>
        <v>253.33333333333337</v>
      </c>
      <c r="F58" s="24"/>
      <c r="G58" s="24"/>
      <c r="H58" s="24"/>
      <c r="I58" s="147"/>
      <c r="J58" s="147"/>
      <c r="M58" s="4"/>
      <c r="N58" s="4"/>
      <c r="O58" s="4"/>
      <c r="P58" s="4"/>
      <c r="Q58" s="4"/>
      <c r="R58" s="147"/>
      <c r="T58" s="147"/>
      <c r="U58" s="147"/>
    </row>
    <row r="59" spans="1:21" x14ac:dyDescent="0.2">
      <c r="A59" s="147" t="s">
        <v>238</v>
      </c>
      <c r="C59" s="13"/>
      <c r="D59" s="4"/>
      <c r="E59" s="39">
        <f>SUM(E52:E58)</f>
        <v>1005.9659726599159</v>
      </c>
      <c r="I59" s="147"/>
      <c r="J59" s="147"/>
      <c r="M59" s="4"/>
      <c r="N59" s="4"/>
      <c r="O59" s="4"/>
      <c r="P59" s="4"/>
      <c r="Q59" s="4"/>
      <c r="R59" s="147"/>
      <c r="T59" s="147"/>
      <c r="U59" s="147"/>
    </row>
    <row r="60" spans="1:21" x14ac:dyDescent="0.2">
      <c r="A60" s="146"/>
      <c r="C60" s="13"/>
      <c r="D60" s="4"/>
      <c r="E60" s="13"/>
      <c r="I60" s="147"/>
      <c r="J60" s="147"/>
      <c r="M60" s="4"/>
      <c r="N60" s="4"/>
      <c r="O60" s="4"/>
      <c r="P60" s="4"/>
      <c r="Q60" s="4"/>
      <c r="R60" s="147"/>
      <c r="T60" s="147"/>
      <c r="U60" s="147"/>
    </row>
    <row r="61" spans="1:21" x14ac:dyDescent="0.2">
      <c r="A61" s="147" t="s">
        <v>131</v>
      </c>
      <c r="C61" s="13"/>
      <c r="D61" s="4"/>
      <c r="E61" s="13"/>
      <c r="I61" s="147"/>
      <c r="J61" s="147"/>
      <c r="M61" s="4"/>
      <c r="N61" s="4"/>
      <c r="O61" s="4"/>
      <c r="P61" s="4"/>
      <c r="Q61" s="4"/>
      <c r="R61" s="147"/>
      <c r="T61" s="147"/>
      <c r="U61" s="147"/>
    </row>
    <row r="62" spans="1:21" x14ac:dyDescent="0.2">
      <c r="A62" s="148" t="s">
        <v>19</v>
      </c>
      <c r="B62" s="146"/>
      <c r="C62" s="13">
        <v>1</v>
      </c>
      <c r="D62" s="9">
        <f>Grunduppgifter!B58</f>
        <v>1500</v>
      </c>
      <c r="E62" s="13">
        <f>C62*D62</f>
        <v>1500</v>
      </c>
      <c r="F62" s="13"/>
      <c r="H62" s="148" t="s">
        <v>139</v>
      </c>
      <c r="I62" s="147"/>
      <c r="J62" s="147"/>
      <c r="M62" s="4"/>
      <c r="N62" s="4"/>
      <c r="O62" s="4"/>
      <c r="P62" s="4"/>
      <c r="Q62" s="4"/>
      <c r="R62" s="147"/>
      <c r="T62" s="147"/>
      <c r="U62" s="147"/>
    </row>
    <row r="63" spans="1:21" x14ac:dyDescent="0.2">
      <c r="A63" s="24" t="s">
        <v>134</v>
      </c>
      <c r="B63" s="109" t="s">
        <v>11</v>
      </c>
      <c r="C63" s="26">
        <f>D94</f>
        <v>60</v>
      </c>
      <c r="D63" s="26">
        <f>Grunduppgifter!B25</f>
        <v>283</v>
      </c>
      <c r="E63" s="26">
        <f>C63*D63</f>
        <v>16980</v>
      </c>
      <c r="F63" s="26"/>
      <c r="G63" s="24"/>
      <c r="H63" s="24" t="s">
        <v>139</v>
      </c>
      <c r="I63" s="147"/>
      <c r="J63" s="147"/>
      <c r="M63" s="4"/>
      <c r="N63" s="4"/>
      <c r="O63" s="4"/>
      <c r="P63" s="4"/>
      <c r="Q63" s="4"/>
      <c r="R63" s="147"/>
      <c r="T63" s="147"/>
      <c r="U63" s="147"/>
    </row>
    <row r="64" spans="1:21" x14ac:dyDescent="0.2">
      <c r="A64" s="147" t="s">
        <v>239</v>
      </c>
      <c r="B64" s="147"/>
      <c r="C64" s="147"/>
      <c r="D64" s="147"/>
      <c r="E64" s="39">
        <f>SUM(E62:E63)</f>
        <v>18480</v>
      </c>
      <c r="F64" s="147"/>
      <c r="G64" s="147"/>
      <c r="H64" s="147"/>
      <c r="I64" s="147"/>
      <c r="J64" s="147"/>
      <c r="M64" s="4"/>
      <c r="N64" s="4"/>
      <c r="O64" s="4"/>
      <c r="P64" s="4"/>
      <c r="Q64" s="4"/>
      <c r="R64" s="147"/>
      <c r="T64" s="147"/>
      <c r="U64" s="147"/>
    </row>
    <row r="65" spans="1:21" x14ac:dyDescent="0.2">
      <c r="A65" s="30"/>
      <c r="B65" s="24"/>
      <c r="C65" s="24"/>
      <c r="D65" s="24"/>
      <c r="E65" s="26"/>
      <c r="F65" s="24"/>
      <c r="G65" s="24"/>
      <c r="H65" s="24"/>
      <c r="S65" s="147"/>
    </row>
    <row r="66" spans="1:21" x14ac:dyDescent="0.2">
      <c r="A66" s="147" t="s">
        <v>240</v>
      </c>
      <c r="B66" s="46"/>
      <c r="C66" s="46"/>
      <c r="D66" s="46"/>
      <c r="E66" s="110">
        <f>E35+E42+E49+E59+E64</f>
        <v>50641.723900325349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147"/>
      <c r="T66" s="46"/>
      <c r="U66" s="46"/>
    </row>
    <row r="67" spans="1:21" x14ac:dyDescent="0.2">
      <c r="A67" s="46"/>
      <c r="E67" s="13"/>
      <c r="S67" s="147"/>
    </row>
    <row r="68" spans="1:21" x14ac:dyDescent="0.2">
      <c r="A68" s="147" t="s">
        <v>241</v>
      </c>
      <c r="E68" s="9"/>
    </row>
    <row r="69" spans="1:21" x14ac:dyDescent="0.2">
      <c r="A69" s="148" t="s">
        <v>121</v>
      </c>
      <c r="C69" s="148">
        <v>0.1</v>
      </c>
      <c r="D69" s="13">
        <f>Grunduppgifter!B67/(Grunduppgifter!B21+0.05*(Grunduppgifter!B20-Grunduppgifter!B21))</f>
        <v>27272.727272727272</v>
      </c>
      <c r="E69" s="13">
        <f>C69*D69</f>
        <v>2727.2727272727275</v>
      </c>
    </row>
    <row r="70" spans="1:21" x14ac:dyDescent="0.2">
      <c r="A70" s="24" t="s">
        <v>215</v>
      </c>
      <c r="B70" s="24"/>
      <c r="C70" s="24">
        <v>0.1</v>
      </c>
      <c r="D70" s="26">
        <f>Grunduppgifter!B68/(Grunduppgifter!B21+0.05*(Grunduppgifter!B20-Grunduppgifter!B21))</f>
        <v>27272.727272727272</v>
      </c>
      <c r="E70" s="26">
        <f>C70*D70</f>
        <v>2727.2727272727275</v>
      </c>
      <c r="F70" s="24"/>
      <c r="G70" s="24"/>
      <c r="H70" s="24"/>
      <c r="R70" s="147"/>
    </row>
    <row r="71" spans="1:21" x14ac:dyDescent="0.2">
      <c r="A71" s="147" t="s">
        <v>242</v>
      </c>
      <c r="B71" s="147"/>
      <c r="C71" s="147"/>
      <c r="D71" s="39"/>
      <c r="E71" s="39">
        <f>SUM(E69:E70)</f>
        <v>5454.545454545455</v>
      </c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T71" s="147"/>
      <c r="U71" s="147"/>
    </row>
    <row r="72" spans="1:21" x14ac:dyDescent="0.2">
      <c r="A72" s="46"/>
      <c r="D72" s="13"/>
      <c r="E72" s="13"/>
      <c r="R72" s="147"/>
      <c r="S72" s="146"/>
    </row>
    <row r="73" spans="1:21" x14ac:dyDescent="0.2">
      <c r="A73" s="30" t="s">
        <v>0</v>
      </c>
      <c r="B73" s="24"/>
      <c r="C73" s="24"/>
      <c r="D73" s="24"/>
      <c r="E73" s="52">
        <f>E11-E66-E71</f>
        <v>0</v>
      </c>
      <c r="F73" s="24"/>
      <c r="G73" s="24"/>
      <c r="H73" s="24"/>
      <c r="S73" s="147"/>
    </row>
    <row r="74" spans="1:21" x14ac:dyDescent="0.2">
      <c r="A74" s="147"/>
      <c r="E74" s="9"/>
      <c r="S74" s="147"/>
    </row>
    <row r="75" spans="1:21" x14ac:dyDescent="0.2">
      <c r="A75" s="147"/>
    </row>
    <row r="76" spans="1:21" ht="15.75" x14ac:dyDescent="0.25">
      <c r="A76" s="53" t="s">
        <v>243</v>
      </c>
      <c r="B76" s="24"/>
      <c r="C76" s="24"/>
      <c r="D76" s="24"/>
      <c r="E76" s="24"/>
      <c r="F76" s="24"/>
      <c r="G76" s="24"/>
      <c r="H76" s="24"/>
    </row>
    <row r="77" spans="1:21" x14ac:dyDescent="0.2">
      <c r="A77" s="147"/>
      <c r="B77" s="111"/>
      <c r="C77" s="133" t="s">
        <v>244</v>
      </c>
      <c r="D77" s="133" t="s">
        <v>245</v>
      </c>
      <c r="E77" s="111"/>
      <c r="F77" s="133" t="s">
        <v>29</v>
      </c>
      <c r="G77" s="50"/>
      <c r="H77" s="147" t="s">
        <v>30</v>
      </c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</row>
    <row r="78" spans="1:21" x14ac:dyDescent="0.2">
      <c r="A78" s="30" t="s">
        <v>27</v>
      </c>
      <c r="B78" s="30"/>
      <c r="C78" s="134" t="s">
        <v>284</v>
      </c>
      <c r="D78" s="134" t="s">
        <v>284</v>
      </c>
      <c r="E78" s="112"/>
      <c r="F78" s="134" t="s">
        <v>284</v>
      </c>
      <c r="G78" s="49"/>
      <c r="H78" s="30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</row>
    <row r="79" spans="1:21" x14ac:dyDescent="0.2">
      <c r="A79" s="148" t="s">
        <v>82</v>
      </c>
      <c r="D79" s="148">
        <v>2</v>
      </c>
      <c r="F79" s="148">
        <v>2</v>
      </c>
    </row>
    <row r="80" spans="1:21" x14ac:dyDescent="0.2">
      <c r="A80" s="148" t="s">
        <v>33</v>
      </c>
      <c r="D80" s="148">
        <v>2</v>
      </c>
      <c r="F80" s="148">
        <v>2</v>
      </c>
    </row>
    <row r="81" spans="1:21" x14ac:dyDescent="0.2">
      <c r="A81" s="148" t="s">
        <v>55</v>
      </c>
      <c r="C81" s="9">
        <f>C16/250*8/10</f>
        <v>12.8</v>
      </c>
      <c r="D81" s="9">
        <f>C16/250*2/10</f>
        <v>3.2</v>
      </c>
      <c r="F81" s="148">
        <v>1</v>
      </c>
      <c r="H81" s="148" t="s">
        <v>410</v>
      </c>
    </row>
    <row r="82" spans="1:21" x14ac:dyDescent="0.2">
      <c r="A82" s="148" t="s">
        <v>247</v>
      </c>
      <c r="D82" s="148">
        <v>5</v>
      </c>
      <c r="F82" s="148">
        <v>0</v>
      </c>
    </row>
    <row r="83" spans="1:21" x14ac:dyDescent="0.2">
      <c r="A83" s="148" t="s">
        <v>34</v>
      </c>
      <c r="D83" s="148">
        <v>4</v>
      </c>
      <c r="F83" s="148">
        <v>0</v>
      </c>
      <c r="H83" s="148" t="s">
        <v>66</v>
      </c>
    </row>
    <row r="84" spans="1:21" x14ac:dyDescent="0.2">
      <c r="A84" s="148" t="s">
        <v>88</v>
      </c>
      <c r="D84" s="148">
        <v>3</v>
      </c>
      <c r="F84" s="148">
        <v>0</v>
      </c>
    </row>
    <row r="85" spans="1:21" x14ac:dyDescent="0.2">
      <c r="A85" s="148" t="s">
        <v>64</v>
      </c>
      <c r="F85" s="148">
        <v>0</v>
      </c>
    </row>
    <row r="86" spans="1:21" x14ac:dyDescent="0.2">
      <c r="A86" s="148" t="s">
        <v>248</v>
      </c>
      <c r="C86" s="148">
        <v>6</v>
      </c>
      <c r="D86" s="148">
        <v>1</v>
      </c>
      <c r="F86" s="148">
        <v>0</v>
      </c>
      <c r="H86" s="146" t="s">
        <v>126</v>
      </c>
      <c r="I86" s="146"/>
    </row>
    <row r="87" spans="1:21" x14ac:dyDescent="0.2">
      <c r="A87" s="186" t="s">
        <v>409</v>
      </c>
      <c r="C87" s="148">
        <v>11</v>
      </c>
      <c r="D87" s="148">
        <v>1</v>
      </c>
      <c r="F87" s="148">
        <v>0</v>
      </c>
      <c r="H87" s="146"/>
    </row>
    <row r="88" spans="1:21" x14ac:dyDescent="0.2">
      <c r="A88" s="24" t="s">
        <v>127</v>
      </c>
      <c r="B88" s="24"/>
      <c r="C88" s="24"/>
      <c r="D88" s="24">
        <v>2</v>
      </c>
      <c r="E88" s="24"/>
      <c r="F88" s="24">
        <v>0</v>
      </c>
      <c r="G88" s="24"/>
      <c r="H88" s="24"/>
    </row>
    <row r="89" spans="1:21" x14ac:dyDescent="0.2">
      <c r="A89" s="146" t="s">
        <v>249</v>
      </c>
      <c r="C89" s="9">
        <f>SUM(C79:C88)</f>
        <v>29.8</v>
      </c>
      <c r="D89" s="9">
        <f>SUM(D79:D88)</f>
        <v>23.2</v>
      </c>
      <c r="F89" s="148">
        <f>SUM(F79:F88)</f>
        <v>5</v>
      </c>
    </row>
    <row r="91" spans="1:21" x14ac:dyDescent="0.2">
      <c r="A91" s="146" t="s">
        <v>250</v>
      </c>
      <c r="C91" s="9">
        <f>(0.2*C4/25+0.8*C4/25)*4/5</f>
        <v>32</v>
      </c>
      <c r="D91" s="9">
        <f>(0.2*C4/25+0.8*C4/25)*1/5</f>
        <v>8</v>
      </c>
      <c r="F91" s="9">
        <f>0.2*800/25/20+0.8*C4/25/20</f>
        <v>1.9200000000000002</v>
      </c>
      <c r="H91" s="146" t="s">
        <v>302</v>
      </c>
      <c r="J91" s="148">
        <f>C4/25</f>
        <v>40</v>
      </c>
    </row>
    <row r="92" spans="1:21" x14ac:dyDescent="0.2">
      <c r="A92" s="146" t="s">
        <v>231</v>
      </c>
    </row>
    <row r="93" spans="1:21" x14ac:dyDescent="0.2">
      <c r="A93" s="22" t="s">
        <v>128</v>
      </c>
      <c r="B93" s="22"/>
      <c r="C93" s="22"/>
      <c r="D93" s="22"/>
      <c r="E93" s="22"/>
      <c r="F93" s="22">
        <v>0</v>
      </c>
      <c r="G93" s="22"/>
      <c r="H93" s="195"/>
    </row>
    <row r="94" spans="1:21" s="194" customFormat="1" x14ac:dyDescent="0.2">
      <c r="A94" s="60" t="s">
        <v>259</v>
      </c>
      <c r="B94" s="24"/>
      <c r="C94" s="24"/>
      <c r="D94" s="24">
        <f>Grunduppgifter!B27</f>
        <v>60</v>
      </c>
      <c r="E94" s="24"/>
      <c r="F94" s="24"/>
      <c r="G94" s="24"/>
      <c r="H94" s="29"/>
    </row>
    <row r="95" spans="1:21" x14ac:dyDescent="0.2">
      <c r="A95" s="147" t="s">
        <v>251</v>
      </c>
      <c r="B95" s="147"/>
      <c r="C95" s="45">
        <f>SUM(C89:C94)</f>
        <v>61.8</v>
      </c>
      <c r="D95" s="45">
        <f>SUM(D89:D94)</f>
        <v>91.2</v>
      </c>
      <c r="E95" s="147"/>
      <c r="F95" s="45">
        <f>SUM(F89:F94)</f>
        <v>6.92</v>
      </c>
      <c r="G95" s="147"/>
      <c r="H95" s="147">
        <f>SUM(B95:D95)</f>
        <v>153</v>
      </c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</row>
    <row r="96" spans="1:21" x14ac:dyDescent="0.2">
      <c r="A96" s="147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</row>
    <row r="98" spans="1:8" ht="25.5" x14ac:dyDescent="0.25">
      <c r="A98" s="53" t="s">
        <v>132</v>
      </c>
      <c r="B98" s="114"/>
      <c r="C98" s="115" t="s">
        <v>252</v>
      </c>
      <c r="D98" s="115" t="s">
        <v>253</v>
      </c>
    </row>
    <row r="99" spans="1:8" x14ac:dyDescent="0.2">
      <c r="A99" s="148" t="s">
        <v>278</v>
      </c>
      <c r="B99" s="116"/>
      <c r="C99" s="116">
        <f>(E28-E10)/C9</f>
        <v>19.275239083253588</v>
      </c>
      <c r="D99" s="116">
        <f t="shared" ref="D99:D104" si="1">C99+$C$105*C99/($C$106-$C$105)</f>
        <v>21.37204907598213</v>
      </c>
    </row>
    <row r="100" spans="1:8" x14ac:dyDescent="0.2">
      <c r="A100" s="148" t="s">
        <v>254</v>
      </c>
      <c r="B100" s="116"/>
      <c r="C100" s="116">
        <f>E34/C9</f>
        <v>4.1434534721837064</v>
      </c>
      <c r="D100" s="116">
        <f t="shared" si="1"/>
        <v>4.5941889783610996</v>
      </c>
    </row>
    <row r="101" spans="1:8" x14ac:dyDescent="0.2">
      <c r="A101" s="148" t="s">
        <v>258</v>
      </c>
      <c r="B101" s="116"/>
      <c r="C101" s="116">
        <f>E42/C9</f>
        <v>8.8505263157894731</v>
      </c>
      <c r="D101" s="116">
        <f t="shared" si="1"/>
        <v>9.8133092903455434</v>
      </c>
    </row>
    <row r="102" spans="1:8" x14ac:dyDescent="0.2">
      <c r="A102" s="148" t="s">
        <v>231</v>
      </c>
      <c r="B102" s="116"/>
      <c r="C102" s="116">
        <f>E49/C9</f>
        <v>0</v>
      </c>
      <c r="D102" s="116">
        <f t="shared" si="1"/>
        <v>0</v>
      </c>
    </row>
    <row r="103" spans="1:8" x14ac:dyDescent="0.2">
      <c r="A103" s="148" t="s">
        <v>235</v>
      </c>
      <c r="B103" s="116"/>
      <c r="C103" s="116">
        <f>E59/C9</f>
        <v>1.0589115501683326</v>
      </c>
      <c r="D103" s="116">
        <f t="shared" si="1"/>
        <v>1.1741026671354715</v>
      </c>
    </row>
    <row r="104" spans="1:8" x14ac:dyDescent="0.2">
      <c r="A104" s="148" t="s">
        <v>131</v>
      </c>
      <c r="B104" s="116"/>
      <c r="C104" s="116">
        <f>E64/C9</f>
        <v>19.452631578947368</v>
      </c>
      <c r="D104" s="116">
        <f t="shared" si="1"/>
        <v>21.568738782776599</v>
      </c>
    </row>
    <row r="105" spans="1:8" x14ac:dyDescent="0.2">
      <c r="A105" s="24" t="s">
        <v>241</v>
      </c>
      <c r="B105" s="117"/>
      <c r="C105" s="117">
        <f>E71/C9</f>
        <v>5.7416267942583739</v>
      </c>
      <c r="D105" s="117"/>
      <c r="F105" s="148">
        <v>3</v>
      </c>
    </row>
    <row r="106" spans="1:8" x14ac:dyDescent="0.2">
      <c r="B106" s="113"/>
      <c r="C106" s="113">
        <f>SUM(C99:C105)</f>
        <v>58.522388794600843</v>
      </c>
      <c r="D106" s="113">
        <f>SUM(D99:D105)</f>
        <v>58.522388794600843</v>
      </c>
    </row>
    <row r="107" spans="1:8" x14ac:dyDescent="0.2">
      <c r="B107" s="116"/>
    </row>
    <row r="109" spans="1:8" x14ac:dyDescent="0.2">
      <c r="A109" s="58" t="s">
        <v>255</v>
      </c>
      <c r="B109" s="58"/>
      <c r="C109" s="118">
        <v>-0.5</v>
      </c>
      <c r="D109" s="118">
        <v>-0.25</v>
      </c>
      <c r="E109" s="58">
        <v>0</v>
      </c>
      <c r="F109" s="118">
        <v>0.25</v>
      </c>
      <c r="G109" s="118">
        <v>0.5</v>
      </c>
    </row>
    <row r="110" spans="1:8" x14ac:dyDescent="0.2">
      <c r="A110" s="148" t="s">
        <v>256</v>
      </c>
      <c r="B110" s="148" t="s">
        <v>246</v>
      </c>
      <c r="C110" s="9">
        <f>($C$95+$D$95)*(1+C109)</f>
        <v>76.5</v>
      </c>
      <c r="D110" s="9">
        <f>($C$95+$D$95)*(1+D109)</f>
        <v>114.75</v>
      </c>
      <c r="E110" s="9">
        <f>($C$95+$D$95)*(1+E109)</f>
        <v>153</v>
      </c>
      <c r="F110" s="9">
        <f>($C$95+$D$95)*(1+F109)</f>
        <v>191.25</v>
      </c>
      <c r="G110" s="9">
        <f>($C$95+$D$95)*(1+G109)</f>
        <v>229.5</v>
      </c>
    </row>
    <row r="111" spans="1:8" x14ac:dyDescent="0.2">
      <c r="A111" s="24" t="s">
        <v>116</v>
      </c>
      <c r="B111" s="24" t="s">
        <v>133</v>
      </c>
      <c r="C111" s="31">
        <f>($E$66+$E$71-$E$10+C109*($E$14+$E$15+$E$38+$E$39+$E$45+$E$52+$E$53))/$C$9</f>
        <v>47.825336163021902</v>
      </c>
      <c r="D111" s="31">
        <f>($E$66+$E$71-$E$10+D109*($E$14+$E$15+$E$38+$E$39+$E$45+$E$52+$E$53))/$C$9</f>
        <v>53.173862478811373</v>
      </c>
      <c r="E111" s="31">
        <f>($E$66+$E$71-$E$10+E109*($E$14+$E$15+$E$38+$E$39+$E$45+$E$52+$E$53))/$C$9</f>
        <v>58.52238879460085</v>
      </c>
      <c r="F111" s="31">
        <f>($E$66+$E$71-$E$10+F109*($E$14+$E$15+$E$38+$E$39+$E$45+$E$52+$E$53))/$C$9</f>
        <v>63.870915110390321</v>
      </c>
      <c r="G111" s="31">
        <f>($E$66+$E$71-$E$10+G109*($E$14+$E$15+$E$38+$E$39+$E$45+$E$52+$E$53))/$C$9</f>
        <v>69.219441426179785</v>
      </c>
      <c r="H111" s="147"/>
    </row>
    <row r="114" spans="1:8" x14ac:dyDescent="0.2">
      <c r="A114" s="30" t="s">
        <v>255</v>
      </c>
      <c r="B114" s="30"/>
      <c r="C114" s="119">
        <v>-0.5</v>
      </c>
      <c r="D114" s="119">
        <v>-0.25</v>
      </c>
      <c r="E114" s="30">
        <v>0</v>
      </c>
      <c r="F114" s="119">
        <v>0.25</v>
      </c>
      <c r="G114" s="119">
        <v>0.5</v>
      </c>
      <c r="H114" s="148" t="s">
        <v>296</v>
      </c>
    </row>
    <row r="115" spans="1:8" x14ac:dyDescent="0.2">
      <c r="A115" s="148" t="s">
        <v>4</v>
      </c>
      <c r="B115" s="148" t="s">
        <v>257</v>
      </c>
      <c r="C115" s="136">
        <f>$C$9/1000*(1+C114)</f>
        <v>0.47499999999999998</v>
      </c>
      <c r="D115" s="136">
        <f>$C$9/1000*(1+D114)</f>
        <v>0.71249999999999991</v>
      </c>
      <c r="E115" s="136">
        <f>$C$9/1000*(1+E114)</f>
        <v>0.95</v>
      </c>
      <c r="F115" s="136">
        <f>$C$9/1000*(1+F114)</f>
        <v>1.1875</v>
      </c>
      <c r="G115" s="136">
        <f>$C$9/1000*(1+G114)</f>
        <v>1.4249999999999998</v>
      </c>
    </row>
    <row r="116" spans="1:8" x14ac:dyDescent="0.2">
      <c r="A116" s="148" t="s">
        <v>220</v>
      </c>
      <c r="B116" s="148" t="s">
        <v>202</v>
      </c>
      <c r="C116" s="13">
        <f>$E$35</f>
        <v>22747.757927665429</v>
      </c>
      <c r="D116" s="13">
        <f>$E$35</f>
        <v>22747.757927665429</v>
      </c>
      <c r="E116" s="13">
        <f>$E$35</f>
        <v>22747.757927665429</v>
      </c>
      <c r="F116" s="13">
        <f>$E$35</f>
        <v>22747.757927665429</v>
      </c>
      <c r="G116" s="13">
        <f>$E$35</f>
        <v>22747.757927665429</v>
      </c>
    </row>
    <row r="117" spans="1:8" x14ac:dyDescent="0.2">
      <c r="A117" s="148" t="s">
        <v>258</v>
      </c>
      <c r="B117" s="148" t="s">
        <v>202</v>
      </c>
      <c r="C117" s="13">
        <f>((0.2*$C$4/25+0.8*$C$4*(1+C114)/25)*4/5*Grunduppgifter!$B$26)+((0.2*$C$4/25+0.8*$C$4*(1+C114)/25)*1/5*Grunduppgifter!$B$25)+((0.2*$C$4/25/20+0.8*$C$4*(1+C114)/25/20)*Grunduppgifter!$B$30)</f>
        <v>5049.5999999999995</v>
      </c>
      <c r="D117" s="13">
        <f>((0.2*$C$4/25+0.8*$C$4*(1+D114)/25)*4/5*Grunduppgifter!$B$26)+((0.2*$C$4/25+0.8*$C$4*(1+D114)/25)*1/5*Grunduppgifter!$B$25)+((0.2*$C$4/25/20+0.8*$C$4*(1+D114)/25/20)*Grunduppgifter!$B$30)</f>
        <v>6732.8</v>
      </c>
      <c r="E117" s="13">
        <f>((0.2*$C$4/25+0.8*$C$4*(1+E114)/25)*4/5*Grunduppgifter!$B$26)+((0.2*$C$4/25+0.8*$C$4*(1+E114)/25)*1/5*Grunduppgifter!$B$25)+((0.2*$C$4/25/20+0.8*$C$4*(1+E114)/25/20)*Grunduppgifter!$B$30)</f>
        <v>8416</v>
      </c>
      <c r="F117" s="13">
        <f>((0.2*$C$4/25+0.8*$C$4*(1+F114)/25)*4/5*Grunduppgifter!$B$26)+((0.2*$C$4/25+0.8*$C$4*(1+F114)/25)*1/5*Grunduppgifter!$B$25)+((0.2*$C$4/25/20+0.8*$C$4*(1+F114)/25/20)*Grunduppgifter!$B$30)</f>
        <v>10099.199999999999</v>
      </c>
      <c r="G117" s="13">
        <f>((0.2*$C$4/25+0.8*$C$4*(1+G114)/25)*4/5*Grunduppgifter!$B$26)+((0.2*$C$4/25+0.8*$C$4*(1+G114)/25)*1/5*Grunduppgifter!$B$25)+((0.2*$C$4/25/20+0.8*$C$4*(1+G114)/25/20)*Grunduppgifter!$B$30)</f>
        <v>11782.4</v>
      </c>
    </row>
    <row r="118" spans="1:8" x14ac:dyDescent="0.2">
      <c r="A118" s="148" t="s">
        <v>228</v>
      </c>
      <c r="B118" s="148" t="s">
        <v>202</v>
      </c>
      <c r="C118" s="13">
        <f>$E$40</f>
        <v>0</v>
      </c>
      <c r="D118" s="13">
        <f>$E$40</f>
        <v>0</v>
      </c>
      <c r="E118" s="13">
        <f>$E$40</f>
        <v>0</v>
      </c>
      <c r="F118" s="13">
        <f>$E$40</f>
        <v>0</v>
      </c>
      <c r="G118" s="13">
        <f>$E$40</f>
        <v>0</v>
      </c>
    </row>
    <row r="119" spans="1:8" x14ac:dyDescent="0.2">
      <c r="A119" s="148" t="s">
        <v>231</v>
      </c>
      <c r="B119" s="148" t="s">
        <v>202</v>
      </c>
      <c r="C119" s="13">
        <f t="shared" ref="C119:D119" si="2">$E$45+$E$46+$E$47+$E$48*(1+C114)</f>
        <v>0</v>
      </c>
      <c r="D119" s="13">
        <f t="shared" si="2"/>
        <v>0</v>
      </c>
      <c r="E119" s="13">
        <f>$E$45+$E$46+$E$47+$E$48*(1+E114)</f>
        <v>0</v>
      </c>
      <c r="F119" s="13">
        <f>$E$45+$E$46+$E$47+$E$48*(1+F114)</f>
        <v>0</v>
      </c>
      <c r="G119" s="13">
        <f>$E$45+$E$46+$E$47+$E$48*(1+G114)</f>
        <v>0</v>
      </c>
    </row>
    <row r="120" spans="1:8" x14ac:dyDescent="0.2">
      <c r="A120" s="148" t="s">
        <v>235</v>
      </c>
      <c r="B120" s="148" t="s">
        <v>202</v>
      </c>
      <c r="C120" s="13">
        <f t="shared" ref="C120:D120" si="3">$E$54+$E$55+$E$56+($E$52+$E$53+$E$57+$E$58)*(1+C114)</f>
        <v>879.29930599324916</v>
      </c>
      <c r="D120" s="13">
        <f t="shared" si="3"/>
        <v>942.63263932658253</v>
      </c>
      <c r="E120" s="13">
        <f>$E$54+$E$55+$E$56+($E$52+$E$53+$E$57+$E$58)*(1+E114)</f>
        <v>1005.9659726599159</v>
      </c>
      <c r="F120" s="13">
        <f t="shared" ref="F120:G120" si="4">$E$54+$E$55+$E$56+($E$52+$E$53+$E$57+$E$58)*(1+F114)</f>
        <v>1069.2993059932492</v>
      </c>
      <c r="G120" s="13">
        <f t="shared" si="4"/>
        <v>1132.6326393265826</v>
      </c>
    </row>
    <row r="121" spans="1:8" x14ac:dyDescent="0.2">
      <c r="A121" s="148" t="s">
        <v>259</v>
      </c>
      <c r="B121" s="148" t="s">
        <v>202</v>
      </c>
      <c r="C121" s="13">
        <f t="shared" ref="C121:D121" si="5">0.2*$E$64+0.8*$E$64*(1+C114)</f>
        <v>11088</v>
      </c>
      <c r="D121" s="13">
        <f t="shared" si="5"/>
        <v>14784</v>
      </c>
      <c r="E121" s="13">
        <f>0.2*$E$64+0.8*$E$64*(1+E114)</f>
        <v>18480</v>
      </c>
      <c r="F121" s="13">
        <f t="shared" ref="F121:G121" si="6">0.2*$E$64+0.8*$E$64*(1+F114)</f>
        <v>22176</v>
      </c>
      <c r="G121" s="13">
        <f t="shared" si="6"/>
        <v>25872</v>
      </c>
      <c r="H121" s="13"/>
    </row>
    <row r="122" spans="1:8" x14ac:dyDescent="0.2">
      <c r="A122" s="148" t="s">
        <v>260</v>
      </c>
      <c r="B122" s="148" t="s">
        <v>202</v>
      </c>
      <c r="C122" s="13">
        <f>SUM(C117:C121)</f>
        <v>17016.899305993247</v>
      </c>
      <c r="D122" s="13">
        <f>SUM(D117:D121)</f>
        <v>22459.432639326584</v>
      </c>
      <c r="E122" s="13">
        <f>SUM(E117:E121)</f>
        <v>27901.965972659917</v>
      </c>
      <c r="F122" s="13">
        <f>SUM(F117:F121)</f>
        <v>33344.499305993246</v>
      </c>
      <c r="G122" s="13">
        <f>SUM(G117:G121)</f>
        <v>38787.032639326586</v>
      </c>
    </row>
    <row r="123" spans="1:8" x14ac:dyDescent="0.2">
      <c r="A123" s="148" t="s">
        <v>121</v>
      </c>
      <c r="B123" s="148" t="s">
        <v>202</v>
      </c>
      <c r="C123" s="13">
        <f>$E$71</f>
        <v>5454.545454545455</v>
      </c>
      <c r="D123" s="13">
        <f>$E$71</f>
        <v>5454.545454545455</v>
      </c>
      <c r="E123" s="13">
        <f>$E$71</f>
        <v>5454.545454545455</v>
      </c>
      <c r="F123" s="13">
        <f>$E$71</f>
        <v>5454.545454545455</v>
      </c>
      <c r="G123" s="13">
        <f>$E$71</f>
        <v>5454.545454545455</v>
      </c>
    </row>
    <row r="124" spans="1:8" x14ac:dyDescent="0.2">
      <c r="A124" s="148" t="s">
        <v>261</v>
      </c>
      <c r="B124" s="148" t="s">
        <v>202</v>
      </c>
      <c r="C124" s="13">
        <f>C116+C122+C123</f>
        <v>45219.202688204132</v>
      </c>
      <c r="D124" s="13">
        <f>D116+D122+D123</f>
        <v>50661.736021537465</v>
      </c>
      <c r="E124" s="13">
        <f>E116+E122+E123</f>
        <v>56104.269354870805</v>
      </c>
      <c r="F124" s="13">
        <f>F116+F122+F123</f>
        <v>61546.80268820413</v>
      </c>
      <c r="G124" s="13">
        <f>G116+G122+G123</f>
        <v>66989.336021537471</v>
      </c>
    </row>
    <row r="125" spans="1:8" x14ac:dyDescent="0.2">
      <c r="A125" s="24" t="s">
        <v>116</v>
      </c>
      <c r="B125" s="24" t="s">
        <v>133</v>
      </c>
      <c r="C125" s="31">
        <f>(C124-$E$10)/C115/1000</f>
        <v>94.145689869903435</v>
      </c>
      <c r="D125" s="31">
        <f>(D124-$E$10)/D115/1000</f>
        <v>70.402436521456096</v>
      </c>
      <c r="E125" s="31">
        <f>(E124-$E$10)/E115/1000</f>
        <v>58.530809847232426</v>
      </c>
      <c r="F125" s="31">
        <f>(F124-$E$10)/F115/1000</f>
        <v>51.407833842698217</v>
      </c>
      <c r="G125" s="31">
        <f>(G124-$E$10)/G115/1000</f>
        <v>46.659183173008756</v>
      </c>
    </row>
    <row r="128" spans="1:8" x14ac:dyDescent="0.2">
      <c r="A128" s="120" t="s">
        <v>262</v>
      </c>
      <c r="B128" s="121"/>
      <c r="C128" s="121"/>
      <c r="D128" s="121"/>
      <c r="E128" s="121"/>
      <c r="F128" s="122"/>
    </row>
    <row r="129" spans="1:6" ht="25.5" x14ac:dyDescent="0.2">
      <c r="A129" s="123"/>
      <c r="C129" s="124" t="s">
        <v>263</v>
      </c>
      <c r="D129" s="124" t="s">
        <v>223</v>
      </c>
      <c r="E129" s="124" t="s">
        <v>115</v>
      </c>
      <c r="F129" s="125" t="s">
        <v>264</v>
      </c>
    </row>
    <row r="130" spans="1:6" x14ac:dyDescent="0.2">
      <c r="A130" s="126" t="s">
        <v>274</v>
      </c>
      <c r="F130" s="127"/>
    </row>
    <row r="131" spans="1:6" x14ac:dyDescent="0.2">
      <c r="A131" s="123" t="str">
        <f>Grunduppgifter!A36</f>
        <v xml:space="preserve">Biofer 10-3-1 </v>
      </c>
      <c r="B131" s="168" t="s">
        <v>14</v>
      </c>
      <c r="C131" s="169">
        <f>Grunduppgifter!F88</f>
        <v>100</v>
      </c>
      <c r="D131" s="169"/>
      <c r="E131" s="4">
        <f>Grunduppgifter!B36</f>
        <v>3.91</v>
      </c>
      <c r="F131" s="151">
        <f>C131*E131*(1+Grunduppgifter!$B$49)</f>
        <v>469.2</v>
      </c>
    </row>
    <row r="132" spans="1:6" s="169" customFormat="1" x14ac:dyDescent="0.2">
      <c r="A132" s="123" t="str">
        <f>Grunduppgifter!A37</f>
        <v>Biofer 9-3-4</v>
      </c>
      <c r="B132" s="168" t="s">
        <v>14</v>
      </c>
      <c r="C132" s="169">
        <f>Grunduppgifter!F89</f>
        <v>0</v>
      </c>
      <c r="E132" s="4">
        <f>Grunduppgifter!B37</f>
        <v>4.16</v>
      </c>
      <c r="F132" s="151">
        <f>C132*E132*(1+Grunduppgifter!$B$49)</f>
        <v>0</v>
      </c>
    </row>
    <row r="133" spans="1:6" s="169" customFormat="1" x14ac:dyDescent="0.2">
      <c r="A133" s="123" t="str">
        <f>Grunduppgifter!A38</f>
        <v xml:space="preserve">Biofer 6-3-12 </v>
      </c>
      <c r="B133" s="168" t="s">
        <v>14</v>
      </c>
      <c r="C133" s="169">
        <f>Grunduppgifter!F90</f>
        <v>0</v>
      </c>
      <c r="E133" s="31">
        <f>Grunduppgifter!B38</f>
        <v>5.1100000000000003</v>
      </c>
      <c r="F133" s="131">
        <f>C133*E133*(1+Grunduppgifter!$B$49)</f>
        <v>0</v>
      </c>
    </row>
    <row r="134" spans="1:6" x14ac:dyDescent="0.2">
      <c r="A134" s="130" t="s">
        <v>279</v>
      </c>
      <c r="B134" s="169"/>
      <c r="C134" s="169">
        <f>SUM(C131:C133)</f>
        <v>100</v>
      </c>
      <c r="D134" s="169"/>
      <c r="E134" s="4">
        <f>F134/C134</f>
        <v>4.6920000000000002</v>
      </c>
      <c r="F134" s="128">
        <f>SUM(F131:F133)</f>
        <v>469.2</v>
      </c>
    </row>
    <row r="135" spans="1:6" x14ac:dyDescent="0.2">
      <c r="A135" s="123"/>
      <c r="E135" s="4"/>
      <c r="F135" s="128"/>
    </row>
    <row r="136" spans="1:6" x14ac:dyDescent="0.2">
      <c r="A136" s="126" t="s">
        <v>178</v>
      </c>
      <c r="E136" s="4"/>
      <c r="F136" s="128"/>
    </row>
    <row r="137" spans="1:6" x14ac:dyDescent="0.2">
      <c r="A137" s="123" t="str">
        <f>Grunduppgifter!A39</f>
        <v>Kalimagnesia 25-6</v>
      </c>
      <c r="B137" s="146" t="s">
        <v>14</v>
      </c>
      <c r="C137" s="24">
        <f>Grunduppgifter!F85</f>
        <v>10</v>
      </c>
      <c r="E137" s="31">
        <f>Grunduppgifter!B39</f>
        <v>4.5599999999999996</v>
      </c>
      <c r="F137" s="129">
        <f>C137*E137*(1+Grunduppgifter!B49)</f>
        <v>54.719999999999992</v>
      </c>
    </row>
    <row r="138" spans="1:6" x14ac:dyDescent="0.2">
      <c r="A138" s="130" t="s">
        <v>280</v>
      </c>
      <c r="C138" s="169">
        <f>SUM(C137)</f>
        <v>10</v>
      </c>
      <c r="D138" s="169"/>
      <c r="E138" s="4">
        <f>IF(C138=0,0,F138/C138)</f>
        <v>5.4719999999999995</v>
      </c>
      <c r="F138" s="128">
        <f>SUM(F137:F137)</f>
        <v>54.719999999999992</v>
      </c>
    </row>
    <row r="139" spans="1:6" x14ac:dyDescent="0.2">
      <c r="A139" s="123"/>
      <c r="F139" s="127"/>
    </row>
    <row r="140" spans="1:6" x14ac:dyDescent="0.2">
      <c r="A140" s="123"/>
      <c r="F140" s="127"/>
    </row>
    <row r="141" spans="1:6" x14ac:dyDescent="0.2">
      <c r="A141" s="126" t="s">
        <v>275</v>
      </c>
      <c r="F141" s="127"/>
    </row>
    <row r="142" spans="1:6" x14ac:dyDescent="0.2">
      <c r="A142" s="130" t="str">
        <f>Grunduppgifter!A40</f>
        <v>Conserve</v>
      </c>
      <c r="B142" s="146" t="s">
        <v>59</v>
      </c>
      <c r="D142" s="148">
        <v>1</v>
      </c>
      <c r="E142" s="13">
        <f>Grunduppgifter!B40</f>
        <v>2451</v>
      </c>
      <c r="F142" s="151">
        <f>C142*E142*(1+Grunduppgifter!$B$50)</f>
        <v>0</v>
      </c>
    </row>
    <row r="143" spans="1:6" x14ac:dyDescent="0.2">
      <c r="A143" s="130" t="str">
        <f>Grunduppgifter!A44</f>
        <v>Turex 50 WP</v>
      </c>
      <c r="B143" s="146" t="s">
        <v>14</v>
      </c>
      <c r="C143" s="148">
        <v>0.1</v>
      </c>
      <c r="D143" s="148">
        <v>2</v>
      </c>
      <c r="E143" s="148">
        <f>Grunduppgifter!B44</f>
        <v>854</v>
      </c>
      <c r="F143" s="131">
        <f>C143*E143*(1+Grunduppgifter!$B$50)</f>
        <v>106.75</v>
      </c>
    </row>
    <row r="144" spans="1:6" x14ac:dyDescent="0.2">
      <c r="A144" s="132" t="s">
        <v>281</v>
      </c>
      <c r="B144" s="24"/>
      <c r="C144" s="24"/>
      <c r="D144" s="24"/>
      <c r="E144" s="24"/>
      <c r="F144" s="131">
        <f>SUM(F142:F143)</f>
        <v>106.75</v>
      </c>
    </row>
    <row r="146" spans="1:4" x14ac:dyDescent="0.2">
      <c r="A146" s="174" t="s">
        <v>360</v>
      </c>
      <c r="B146" s="175" t="s">
        <v>354</v>
      </c>
      <c r="C146" s="175" t="s">
        <v>355</v>
      </c>
      <c r="D146" s="176" t="s">
        <v>356</v>
      </c>
    </row>
    <row r="147" spans="1:4" x14ac:dyDescent="0.2">
      <c r="A147" s="130" t="s">
        <v>361</v>
      </c>
      <c r="B147" s="169">
        <v>5</v>
      </c>
      <c r="C147" s="169">
        <v>0.8</v>
      </c>
      <c r="D147" s="127">
        <v>4.3</v>
      </c>
    </row>
    <row r="148" spans="1:4" x14ac:dyDescent="0.2">
      <c r="A148" s="173" t="s">
        <v>362</v>
      </c>
      <c r="B148" s="169">
        <f>$C$4*B147/1000</f>
        <v>5</v>
      </c>
      <c r="C148" s="169">
        <f t="shared" ref="C148:D148" si="7">$C$4*C147/1000</f>
        <v>0.8</v>
      </c>
      <c r="D148" s="127">
        <f t="shared" si="7"/>
        <v>4.3</v>
      </c>
    </row>
    <row r="149" spans="1:4" x14ac:dyDescent="0.2">
      <c r="A149" s="173" t="s">
        <v>363</v>
      </c>
      <c r="B149" s="169"/>
      <c r="C149" s="169"/>
      <c r="D149" s="127"/>
    </row>
    <row r="150" spans="1:4" x14ac:dyDescent="0.2">
      <c r="A150" s="123" t="str">
        <f>A18</f>
        <v>Stallgödsel</v>
      </c>
      <c r="B150" s="169">
        <f>C18*Grunduppgifter!B74</f>
        <v>2</v>
      </c>
      <c r="C150" s="169">
        <f>C18*Grunduppgifter!B75</f>
        <v>3</v>
      </c>
      <c r="D150" s="127">
        <f>C18*Grunduppgifter!B76</f>
        <v>10</v>
      </c>
    </row>
    <row r="151" spans="1:4" x14ac:dyDescent="0.2">
      <c r="A151" s="123" t="str">
        <f>Grunduppgifter!A36</f>
        <v xml:space="preserve">Biofer 10-3-1 </v>
      </c>
      <c r="B151" s="169">
        <f>Grunduppgifter!I74*C131</f>
        <v>10.100000000000001</v>
      </c>
      <c r="C151" s="169">
        <f>Grunduppgifter!I75*C131</f>
        <v>3</v>
      </c>
      <c r="D151" s="127">
        <f>Grunduppgifter!I76*C131</f>
        <v>0.89999999999999991</v>
      </c>
    </row>
    <row r="152" spans="1:4" x14ac:dyDescent="0.2">
      <c r="A152" s="123" t="str">
        <f>Grunduppgifter!A37</f>
        <v>Biofer 9-3-4</v>
      </c>
      <c r="B152" s="169">
        <f>Grunduppgifter!J74*C132</f>
        <v>0</v>
      </c>
      <c r="C152" s="169">
        <f>Grunduppgifter!J75*C132</f>
        <v>0</v>
      </c>
      <c r="D152" s="127">
        <f>Grunduppgifter!J76*C132</f>
        <v>0</v>
      </c>
    </row>
    <row r="153" spans="1:4" x14ac:dyDescent="0.2">
      <c r="A153" s="123" t="str">
        <f>Grunduppgifter!A38</f>
        <v xml:space="preserve">Biofer 6-3-12 </v>
      </c>
      <c r="B153" s="169">
        <f>Grunduppgifter!K74*C133</f>
        <v>0</v>
      </c>
      <c r="C153" s="169">
        <f>Grunduppgifter!K75*C133</f>
        <v>0</v>
      </c>
      <c r="D153" s="127">
        <f>Grunduppgifter!K76*C133</f>
        <v>0</v>
      </c>
    </row>
    <row r="154" spans="1:4" x14ac:dyDescent="0.2">
      <c r="A154" s="123" t="str">
        <f>A137</f>
        <v>Kalimagnesia 25-6</v>
      </c>
      <c r="B154" s="169"/>
      <c r="C154" s="169"/>
      <c r="D154" s="127">
        <f>Grunduppgifter!F76*C137</f>
        <v>2.5</v>
      </c>
    </row>
    <row r="155" spans="1:4" x14ac:dyDescent="0.2">
      <c r="A155" s="123" t="s">
        <v>365</v>
      </c>
      <c r="B155" s="169">
        <f>'Gröngödsling 1'!C6*Grunduppgifter!F91</f>
        <v>4</v>
      </c>
      <c r="C155" s="169"/>
      <c r="D155" s="127"/>
    </row>
    <row r="156" spans="1:4" x14ac:dyDescent="0.2">
      <c r="A156" s="123" t="s">
        <v>366</v>
      </c>
      <c r="B156" s="169">
        <f>SUM(B150:B155)</f>
        <v>16.100000000000001</v>
      </c>
      <c r="C156" s="169">
        <f t="shared" ref="C156:D156" si="8">SUM(C150:C155)</f>
        <v>6</v>
      </c>
      <c r="D156" s="127">
        <f t="shared" si="8"/>
        <v>13.4</v>
      </c>
    </row>
    <row r="157" spans="1:4" x14ac:dyDescent="0.2">
      <c r="A157" s="177" t="s">
        <v>367</v>
      </c>
      <c r="B157" s="24">
        <f>B156-B148</f>
        <v>11.100000000000001</v>
      </c>
      <c r="C157" s="24">
        <f t="shared" ref="C157:D157" si="9">C156-C148</f>
        <v>5.2</v>
      </c>
      <c r="D157" s="178">
        <f t="shared" si="9"/>
        <v>9.1000000000000014</v>
      </c>
    </row>
  </sheetData>
  <mergeCells count="2">
    <mergeCell ref="K3:S3"/>
    <mergeCell ref="K6:S6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68"/>
  <sheetViews>
    <sheetView zoomScaleNormal="100" workbookViewId="0">
      <selection activeCell="J68" sqref="J68:K68"/>
    </sheetView>
  </sheetViews>
  <sheetFormatPr defaultRowHeight="12.75" x14ac:dyDescent="0.2"/>
  <cols>
    <col min="2" max="2" width="9" bestFit="1" customWidth="1"/>
    <col min="3" max="3" width="8.28515625" bestFit="1" customWidth="1"/>
    <col min="6" max="6" width="8.140625" customWidth="1"/>
    <col min="8" max="8" width="8.42578125" customWidth="1"/>
    <col min="9" max="9" width="8.28515625" customWidth="1"/>
    <col min="10" max="10" width="8.140625" customWidth="1"/>
    <col min="11" max="11" width="9.85546875" style="218" bestFit="1" customWidth="1"/>
    <col min="12" max="13" width="7.7109375" customWidth="1"/>
  </cols>
  <sheetData>
    <row r="1" spans="1:18" s="20" customFormat="1" ht="15.75" x14ac:dyDescent="0.25">
      <c r="A1" s="20" t="s">
        <v>141</v>
      </c>
      <c r="C1" s="20" t="s">
        <v>147</v>
      </c>
      <c r="F1" s="20" t="s">
        <v>60</v>
      </c>
      <c r="H1" s="20" t="s">
        <v>99</v>
      </c>
    </row>
    <row r="3" spans="1:18" s="57" customFormat="1" ht="12" x14ac:dyDescent="0.2"/>
    <row r="4" spans="1:18" s="57" customFormat="1" ht="12" x14ac:dyDescent="0.2"/>
    <row r="6" spans="1:18" s="34" customFormat="1" x14ac:dyDescent="0.2"/>
    <row r="14" spans="1:18" x14ac:dyDescent="0.2">
      <c r="R14" s="9"/>
    </row>
    <row r="28" spans="1:16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6" x14ac:dyDescent="0.2">
      <c r="A29" s="57"/>
      <c r="B29" s="57" t="s">
        <v>85</v>
      </c>
      <c r="C29" s="57" t="s">
        <v>33</v>
      </c>
      <c r="D29" s="57" t="s">
        <v>55</v>
      </c>
      <c r="E29" s="57" t="s">
        <v>86</v>
      </c>
      <c r="F29" s="57" t="s">
        <v>87</v>
      </c>
      <c r="G29" s="57" t="s">
        <v>88</v>
      </c>
      <c r="H29" s="57" t="s">
        <v>129</v>
      </c>
      <c r="I29" s="57" t="s">
        <v>97</v>
      </c>
      <c r="J29" s="57" t="s">
        <v>36</v>
      </c>
      <c r="K29" s="57" t="s">
        <v>259</v>
      </c>
      <c r="L29" s="57" t="s">
        <v>89</v>
      </c>
      <c r="M29" s="57" t="s">
        <v>1</v>
      </c>
      <c r="N29" s="57"/>
      <c r="O29" s="57"/>
      <c r="P29" s="57"/>
    </row>
    <row r="30" spans="1:16" x14ac:dyDescent="0.2">
      <c r="A30" s="54" t="s">
        <v>84</v>
      </c>
      <c r="B30" s="55"/>
      <c r="C30" s="55"/>
      <c r="D30" s="55"/>
      <c r="E30" s="55"/>
      <c r="F30" s="55"/>
      <c r="G30" s="55"/>
      <c r="H30" s="55" t="s">
        <v>130</v>
      </c>
      <c r="I30" s="55" t="s">
        <v>98</v>
      </c>
      <c r="J30" s="55"/>
      <c r="K30" s="55"/>
      <c r="L30" s="55"/>
      <c r="M30" s="55"/>
      <c r="N30" s="57"/>
      <c r="O30" s="57"/>
      <c r="P30" s="57"/>
    </row>
    <row r="32" spans="1:16" x14ac:dyDescent="0.2">
      <c r="A32" s="34" t="s">
        <v>90</v>
      </c>
      <c r="B32" s="34">
        <f>'Broccoli 1 '!D79</f>
        <v>2</v>
      </c>
      <c r="C32" s="34">
        <f>'Broccoli 1 '!D80</f>
        <v>2</v>
      </c>
      <c r="D32" s="76">
        <f>'Broccoli 1 '!C81+'Broccoli 1 '!D81</f>
        <v>16</v>
      </c>
      <c r="E32" s="34">
        <f>'Broccoli 1 '!D82</f>
        <v>5</v>
      </c>
      <c r="F32" s="34">
        <f>'Broccoli 1 '!D83</f>
        <v>4</v>
      </c>
      <c r="G32" s="34">
        <f>'Broccoli 1 '!D84</f>
        <v>3</v>
      </c>
      <c r="H32" s="34">
        <f>'Broccoli 1 '!C86+'Broccoli 1 '!D86</f>
        <v>7</v>
      </c>
      <c r="I32" s="37">
        <f>'Broccoli 1 '!C87+'Broccoli 1 '!D87</f>
        <v>12</v>
      </c>
      <c r="J32" s="37">
        <f>'Broccoli 1 '!C91+'Broccoli 1 '!D91</f>
        <v>40</v>
      </c>
      <c r="K32" s="37">
        <f>'Broccoli 1 '!C94+'Broccoli 1 '!D94</f>
        <v>60</v>
      </c>
      <c r="L32" s="34">
        <f>'Broccoli 1 '!D88</f>
        <v>2</v>
      </c>
      <c r="M32" s="34">
        <f>SUM(B32:L32)</f>
        <v>153</v>
      </c>
      <c r="N32" s="34"/>
      <c r="O32" s="34" t="s">
        <v>106</v>
      </c>
      <c r="P32" s="34"/>
    </row>
    <row r="33" spans="1:16" x14ac:dyDescent="0.2">
      <c r="I33" s="9"/>
    </row>
    <row r="34" spans="1:16" x14ac:dyDescent="0.2">
      <c r="A34">
        <v>14</v>
      </c>
      <c r="B34">
        <f>B32/5</f>
        <v>0.4</v>
      </c>
      <c r="C34">
        <v>1</v>
      </c>
      <c r="L34" s="4"/>
      <c r="M34" s="4">
        <f>SUM(B34:L34)</f>
        <v>1.4</v>
      </c>
    </row>
    <row r="35" spans="1:16" x14ac:dyDescent="0.2">
      <c r="A35">
        <f t="shared" ref="A35:A67" si="0">A34+1</f>
        <v>15</v>
      </c>
      <c r="L35" s="4"/>
      <c r="M35" s="4">
        <f>SUM(B35:L35)</f>
        <v>0</v>
      </c>
    </row>
    <row r="36" spans="1:16" x14ac:dyDescent="0.2">
      <c r="A36">
        <f t="shared" si="0"/>
        <v>16</v>
      </c>
      <c r="L36" s="4"/>
      <c r="M36" s="4">
        <f t="shared" ref="M36:M67" si="1">SUM(B36:L36)</f>
        <v>0</v>
      </c>
    </row>
    <row r="37" spans="1:16" x14ac:dyDescent="0.2">
      <c r="A37">
        <f t="shared" si="0"/>
        <v>17</v>
      </c>
      <c r="L37" s="4"/>
      <c r="M37" s="4">
        <f t="shared" si="1"/>
        <v>0</v>
      </c>
    </row>
    <row r="38" spans="1:16" x14ac:dyDescent="0.2">
      <c r="A38">
        <f t="shared" si="0"/>
        <v>18</v>
      </c>
      <c r="B38">
        <f>B32/5</f>
        <v>0.4</v>
      </c>
      <c r="C38">
        <v>0.25</v>
      </c>
      <c r="D38" s="14">
        <f>D32/4</f>
        <v>4</v>
      </c>
      <c r="E38">
        <f>E32/4</f>
        <v>1.25</v>
      </c>
      <c r="L38" s="4">
        <f t="shared" ref="L38:L67" si="2">$L$32/30</f>
        <v>6.6666666666666666E-2</v>
      </c>
      <c r="M38" s="4">
        <f t="shared" si="1"/>
        <v>5.9666666666666668</v>
      </c>
    </row>
    <row r="39" spans="1:16" x14ac:dyDescent="0.2">
      <c r="A39">
        <f t="shared" si="0"/>
        <v>19</v>
      </c>
      <c r="F39">
        <v>0.2</v>
      </c>
      <c r="L39" s="4">
        <f t="shared" si="2"/>
        <v>6.6666666666666666E-2</v>
      </c>
      <c r="M39" s="4">
        <f t="shared" si="1"/>
        <v>0.26666666666666666</v>
      </c>
    </row>
    <row r="40" spans="1:16" x14ac:dyDescent="0.2">
      <c r="A40">
        <f t="shared" si="0"/>
        <v>20</v>
      </c>
      <c r="D40" s="14"/>
      <c r="F40" s="218">
        <v>0.2</v>
      </c>
      <c r="H40">
        <v>0.5</v>
      </c>
      <c r="L40" s="4">
        <f t="shared" si="2"/>
        <v>6.6666666666666666E-2</v>
      </c>
      <c r="M40" s="4">
        <f t="shared" si="1"/>
        <v>0.76666666666666661</v>
      </c>
    </row>
    <row r="41" spans="1:16" x14ac:dyDescent="0.2">
      <c r="A41">
        <f t="shared" si="0"/>
        <v>21</v>
      </c>
      <c r="B41">
        <f>B32/5</f>
        <v>0.4</v>
      </c>
      <c r="C41">
        <v>0.25</v>
      </c>
      <c r="D41" s="14">
        <f>D32/4</f>
        <v>4</v>
      </c>
      <c r="E41">
        <f>E32/4</f>
        <v>1.25</v>
      </c>
      <c r="F41" s="218">
        <v>0.2</v>
      </c>
      <c r="H41" s="218">
        <v>0.5</v>
      </c>
      <c r="I41" s="17">
        <f>I$32/10</f>
        <v>1.2</v>
      </c>
      <c r="L41" s="4">
        <f t="shared" si="2"/>
        <v>6.6666666666666666E-2</v>
      </c>
      <c r="M41" s="4">
        <f t="shared" si="1"/>
        <v>7.8666666666666671</v>
      </c>
    </row>
    <row r="42" spans="1:16" s="7" customFormat="1" x14ac:dyDescent="0.2">
      <c r="A42">
        <f t="shared" si="0"/>
        <v>22</v>
      </c>
      <c r="B42"/>
      <c r="C42"/>
      <c r="D42"/>
      <c r="E42">
        <f>E32/4</f>
        <v>1.25</v>
      </c>
      <c r="F42" s="218">
        <v>0.2</v>
      </c>
      <c r="G42"/>
      <c r="H42" s="218">
        <v>0.5</v>
      </c>
      <c r="I42" s="86"/>
      <c r="J42"/>
      <c r="K42" s="218"/>
      <c r="L42" s="4">
        <f t="shared" si="2"/>
        <v>6.6666666666666666E-2</v>
      </c>
      <c r="M42" s="4">
        <f t="shared" si="1"/>
        <v>2.0166666666666666</v>
      </c>
      <c r="N42"/>
      <c r="O42"/>
      <c r="P42"/>
    </row>
    <row r="43" spans="1:16" x14ac:dyDescent="0.2">
      <c r="A43">
        <f t="shared" si="0"/>
        <v>23</v>
      </c>
      <c r="F43" s="218">
        <v>0.2</v>
      </c>
      <c r="H43" s="218">
        <v>0.5</v>
      </c>
      <c r="I43" s="17">
        <f>I$32/10</f>
        <v>1.2</v>
      </c>
      <c r="L43" s="4">
        <f t="shared" si="2"/>
        <v>6.6666666666666666E-2</v>
      </c>
      <c r="M43" s="4">
        <f t="shared" si="1"/>
        <v>1.9666666666666666</v>
      </c>
    </row>
    <row r="44" spans="1:16" x14ac:dyDescent="0.2">
      <c r="A44">
        <f t="shared" si="0"/>
        <v>24</v>
      </c>
      <c r="D44" s="14"/>
      <c r="E44" s="14"/>
      <c r="F44" s="218">
        <v>0.4</v>
      </c>
      <c r="G44">
        <v>0.3</v>
      </c>
      <c r="H44" s="218">
        <v>0.5</v>
      </c>
      <c r="I44" s="17">
        <f>I$32/10</f>
        <v>1.2</v>
      </c>
      <c r="L44" s="4">
        <f t="shared" si="2"/>
        <v>6.6666666666666666E-2</v>
      </c>
      <c r="M44" s="4">
        <f t="shared" si="1"/>
        <v>2.4666666666666668</v>
      </c>
    </row>
    <row r="45" spans="1:16" x14ac:dyDescent="0.2">
      <c r="A45">
        <f t="shared" si="0"/>
        <v>25</v>
      </c>
      <c r="B45">
        <f>B32/5</f>
        <v>0.4</v>
      </c>
      <c r="C45">
        <v>0.25</v>
      </c>
      <c r="D45" s="14">
        <f>D32/4</f>
        <v>4</v>
      </c>
      <c r="E45" s="14">
        <f>E32/4</f>
        <v>1.25</v>
      </c>
      <c r="F45" s="218">
        <v>0.4</v>
      </c>
      <c r="G45" s="218">
        <v>0.3</v>
      </c>
      <c r="H45" s="218">
        <v>0.5</v>
      </c>
      <c r="I45" s="17"/>
      <c r="L45" s="4">
        <f t="shared" si="2"/>
        <v>6.6666666666666666E-2</v>
      </c>
      <c r="M45" s="4">
        <f t="shared" si="1"/>
        <v>7.166666666666667</v>
      </c>
    </row>
    <row r="46" spans="1:16" x14ac:dyDescent="0.2">
      <c r="A46">
        <f t="shared" si="0"/>
        <v>26</v>
      </c>
      <c r="F46" s="218">
        <v>0.4</v>
      </c>
      <c r="G46" s="218">
        <v>0.3</v>
      </c>
      <c r="H46" s="218">
        <v>0.5</v>
      </c>
      <c r="I46" s="17">
        <f>I$32/10</f>
        <v>1.2</v>
      </c>
      <c r="L46" s="4">
        <f t="shared" si="2"/>
        <v>6.6666666666666666E-2</v>
      </c>
      <c r="M46" s="4">
        <f t="shared" si="1"/>
        <v>2.4666666666666668</v>
      </c>
    </row>
    <row r="47" spans="1:16" x14ac:dyDescent="0.2">
      <c r="A47">
        <f t="shared" si="0"/>
        <v>27</v>
      </c>
      <c r="F47" s="218">
        <v>0.4</v>
      </c>
      <c r="G47" s="218">
        <v>0.3</v>
      </c>
      <c r="H47" s="218">
        <v>0.5</v>
      </c>
      <c r="I47" s="17">
        <f>I$32/10</f>
        <v>1.2</v>
      </c>
      <c r="J47">
        <f t="shared" ref="J47:J66" si="3">$J$32/20</f>
        <v>2</v>
      </c>
      <c r="K47" s="218">
        <f>$K$32/20</f>
        <v>3</v>
      </c>
      <c r="L47" s="4">
        <f t="shared" si="2"/>
        <v>6.6666666666666666E-2</v>
      </c>
      <c r="M47" s="4">
        <f t="shared" si="1"/>
        <v>7.4666666666666668</v>
      </c>
    </row>
    <row r="48" spans="1:16" x14ac:dyDescent="0.2">
      <c r="A48">
        <f t="shared" si="0"/>
        <v>28</v>
      </c>
      <c r="F48" s="218">
        <v>0.4</v>
      </c>
      <c r="G48" s="218">
        <v>0.3</v>
      </c>
      <c r="H48" s="218">
        <v>0.5</v>
      </c>
      <c r="I48" s="17">
        <f>I$32/10</f>
        <v>1.2</v>
      </c>
      <c r="J48">
        <f t="shared" si="3"/>
        <v>2</v>
      </c>
      <c r="K48" s="218">
        <f t="shared" ref="K48:K66" si="4">$K$32/20</f>
        <v>3</v>
      </c>
      <c r="L48" s="4">
        <f t="shared" si="2"/>
        <v>6.6666666666666666E-2</v>
      </c>
      <c r="M48" s="4">
        <f t="shared" si="1"/>
        <v>7.4666666666666668</v>
      </c>
    </row>
    <row r="49" spans="1:16" x14ac:dyDescent="0.2">
      <c r="A49">
        <f t="shared" si="0"/>
        <v>29</v>
      </c>
      <c r="B49">
        <f>B32/5</f>
        <v>0.4</v>
      </c>
      <c r="C49">
        <v>0.25</v>
      </c>
      <c r="D49" s="14">
        <f>D32/4</f>
        <v>4</v>
      </c>
      <c r="F49" s="218">
        <v>0.2</v>
      </c>
      <c r="G49" s="218">
        <v>0.3</v>
      </c>
      <c r="H49" s="218">
        <v>0.5</v>
      </c>
      <c r="I49" s="17"/>
      <c r="J49">
        <f t="shared" si="3"/>
        <v>2</v>
      </c>
      <c r="K49" s="218">
        <f t="shared" si="4"/>
        <v>3</v>
      </c>
      <c r="L49" s="4">
        <f t="shared" si="2"/>
        <v>6.6666666666666666E-2</v>
      </c>
      <c r="M49" s="4">
        <f t="shared" si="1"/>
        <v>10.716666666666667</v>
      </c>
    </row>
    <row r="50" spans="1:16" x14ac:dyDescent="0.2">
      <c r="A50">
        <f t="shared" si="0"/>
        <v>30</v>
      </c>
      <c r="F50" s="218">
        <v>0.2</v>
      </c>
      <c r="G50" s="218">
        <v>0.3</v>
      </c>
      <c r="H50" s="218">
        <v>0.5</v>
      </c>
      <c r="I50" s="17">
        <f>I$32/10</f>
        <v>1.2</v>
      </c>
      <c r="J50">
        <f t="shared" si="3"/>
        <v>2</v>
      </c>
      <c r="K50" s="218">
        <f t="shared" si="4"/>
        <v>3</v>
      </c>
      <c r="L50" s="4">
        <f t="shared" si="2"/>
        <v>6.6666666666666666E-2</v>
      </c>
      <c r="M50" s="4">
        <f t="shared" si="1"/>
        <v>7.2666666666666666</v>
      </c>
      <c r="P50" s="1"/>
    </row>
    <row r="51" spans="1:16" x14ac:dyDescent="0.2">
      <c r="A51">
        <f t="shared" si="0"/>
        <v>31</v>
      </c>
      <c r="F51" s="218">
        <v>0.2</v>
      </c>
      <c r="G51" s="218">
        <v>0.3</v>
      </c>
      <c r="H51" s="218">
        <v>0.5</v>
      </c>
      <c r="I51" s="17">
        <f>I$32/10</f>
        <v>1.2</v>
      </c>
      <c r="J51">
        <f t="shared" si="3"/>
        <v>2</v>
      </c>
      <c r="K51" s="218">
        <f t="shared" si="4"/>
        <v>3</v>
      </c>
      <c r="L51" s="4">
        <f t="shared" si="2"/>
        <v>6.6666666666666666E-2</v>
      </c>
      <c r="M51" s="4">
        <f t="shared" si="1"/>
        <v>7.2666666666666666</v>
      </c>
    </row>
    <row r="52" spans="1:16" x14ac:dyDescent="0.2">
      <c r="A52">
        <f t="shared" si="0"/>
        <v>32</v>
      </c>
      <c r="F52" s="218">
        <v>0.2</v>
      </c>
      <c r="G52" s="218">
        <v>0.3</v>
      </c>
      <c r="H52" s="218">
        <v>0.5</v>
      </c>
      <c r="I52" s="17">
        <f>I$32/10</f>
        <v>1.2</v>
      </c>
      <c r="J52">
        <f t="shared" si="3"/>
        <v>2</v>
      </c>
      <c r="K52" s="218">
        <f t="shared" si="4"/>
        <v>3</v>
      </c>
      <c r="L52" s="4">
        <f t="shared" si="2"/>
        <v>6.6666666666666666E-2</v>
      </c>
      <c r="M52" s="4">
        <f t="shared" si="1"/>
        <v>7.2666666666666666</v>
      </c>
    </row>
    <row r="53" spans="1:16" x14ac:dyDescent="0.2">
      <c r="A53">
        <f t="shared" si="0"/>
        <v>33</v>
      </c>
      <c r="F53" s="218">
        <v>0.2</v>
      </c>
      <c r="G53" s="218">
        <v>0.3</v>
      </c>
      <c r="H53" s="218">
        <v>0.5</v>
      </c>
      <c r="I53" s="17">
        <f>I$32/20</f>
        <v>0.6</v>
      </c>
      <c r="J53">
        <f t="shared" si="3"/>
        <v>2</v>
      </c>
      <c r="K53" s="218">
        <f t="shared" si="4"/>
        <v>3</v>
      </c>
      <c r="L53" s="4">
        <f t="shared" si="2"/>
        <v>6.6666666666666666E-2</v>
      </c>
      <c r="M53" s="4">
        <f t="shared" si="1"/>
        <v>6.6666666666666661</v>
      </c>
    </row>
    <row r="54" spans="1:16" x14ac:dyDescent="0.2">
      <c r="A54">
        <f t="shared" si="0"/>
        <v>34</v>
      </c>
      <c r="I54" s="17">
        <f>I$32/20</f>
        <v>0.6</v>
      </c>
      <c r="J54">
        <f t="shared" si="3"/>
        <v>2</v>
      </c>
      <c r="K54" s="218">
        <f t="shared" si="4"/>
        <v>3</v>
      </c>
      <c r="L54" s="4">
        <f t="shared" si="2"/>
        <v>6.6666666666666666E-2</v>
      </c>
      <c r="M54" s="4">
        <f t="shared" si="1"/>
        <v>5.6666666666666661</v>
      </c>
    </row>
    <row r="55" spans="1:16" x14ac:dyDescent="0.2">
      <c r="A55">
        <f t="shared" si="0"/>
        <v>35</v>
      </c>
      <c r="J55">
        <f t="shared" si="3"/>
        <v>2</v>
      </c>
      <c r="K55" s="218">
        <f t="shared" si="4"/>
        <v>3</v>
      </c>
      <c r="L55" s="4">
        <f t="shared" si="2"/>
        <v>6.6666666666666666E-2</v>
      </c>
      <c r="M55" s="4">
        <f t="shared" si="1"/>
        <v>5.0666666666666664</v>
      </c>
    </row>
    <row r="56" spans="1:16" x14ac:dyDescent="0.2">
      <c r="A56">
        <f t="shared" si="0"/>
        <v>36</v>
      </c>
      <c r="J56">
        <f t="shared" si="3"/>
        <v>2</v>
      </c>
      <c r="K56" s="218">
        <f t="shared" si="4"/>
        <v>3</v>
      </c>
      <c r="L56" s="4">
        <f t="shared" si="2"/>
        <v>6.6666666666666666E-2</v>
      </c>
      <c r="M56" s="4">
        <f t="shared" si="1"/>
        <v>5.0666666666666664</v>
      </c>
    </row>
    <row r="57" spans="1:16" x14ac:dyDescent="0.2">
      <c r="A57">
        <f t="shared" si="0"/>
        <v>37</v>
      </c>
      <c r="J57">
        <f t="shared" si="3"/>
        <v>2</v>
      </c>
      <c r="K57" s="218">
        <f t="shared" si="4"/>
        <v>3</v>
      </c>
      <c r="L57" s="4">
        <f t="shared" si="2"/>
        <v>6.6666666666666666E-2</v>
      </c>
      <c r="M57" s="4">
        <f t="shared" si="1"/>
        <v>5.0666666666666664</v>
      </c>
    </row>
    <row r="58" spans="1:16" x14ac:dyDescent="0.2">
      <c r="A58">
        <f t="shared" si="0"/>
        <v>38</v>
      </c>
      <c r="J58">
        <f t="shared" si="3"/>
        <v>2</v>
      </c>
      <c r="K58" s="218">
        <f t="shared" si="4"/>
        <v>3</v>
      </c>
      <c r="L58" s="4">
        <f t="shared" si="2"/>
        <v>6.6666666666666666E-2</v>
      </c>
      <c r="M58" s="4">
        <f t="shared" si="1"/>
        <v>5.0666666666666664</v>
      </c>
    </row>
    <row r="59" spans="1:16" x14ac:dyDescent="0.2">
      <c r="A59">
        <f t="shared" si="0"/>
        <v>39</v>
      </c>
      <c r="J59">
        <f t="shared" si="3"/>
        <v>2</v>
      </c>
      <c r="K59" s="218">
        <f t="shared" si="4"/>
        <v>3</v>
      </c>
      <c r="L59" s="4">
        <f t="shared" si="2"/>
        <v>6.6666666666666666E-2</v>
      </c>
      <c r="M59" s="4">
        <f t="shared" si="1"/>
        <v>5.0666666666666664</v>
      </c>
    </row>
    <row r="60" spans="1:16" x14ac:dyDescent="0.2">
      <c r="A60">
        <f t="shared" si="0"/>
        <v>40</v>
      </c>
      <c r="J60">
        <f t="shared" si="3"/>
        <v>2</v>
      </c>
      <c r="K60" s="218">
        <f t="shared" si="4"/>
        <v>3</v>
      </c>
      <c r="L60" s="4">
        <f t="shared" si="2"/>
        <v>6.6666666666666666E-2</v>
      </c>
      <c r="M60" s="4">
        <f t="shared" si="1"/>
        <v>5.0666666666666664</v>
      </c>
    </row>
    <row r="61" spans="1:16" x14ac:dyDescent="0.2">
      <c r="A61">
        <f t="shared" si="0"/>
        <v>41</v>
      </c>
      <c r="J61">
        <f t="shared" si="3"/>
        <v>2</v>
      </c>
      <c r="K61" s="218">
        <f t="shared" si="4"/>
        <v>3</v>
      </c>
      <c r="L61" s="4">
        <f t="shared" si="2"/>
        <v>6.6666666666666666E-2</v>
      </c>
      <c r="M61" s="4">
        <f t="shared" si="1"/>
        <v>5.0666666666666664</v>
      </c>
    </row>
    <row r="62" spans="1:16" x14ac:dyDescent="0.2">
      <c r="A62">
        <f t="shared" si="0"/>
        <v>42</v>
      </c>
      <c r="J62">
        <f t="shared" si="3"/>
        <v>2</v>
      </c>
      <c r="K62" s="218">
        <f t="shared" si="4"/>
        <v>3</v>
      </c>
      <c r="L62" s="4">
        <f t="shared" si="2"/>
        <v>6.6666666666666666E-2</v>
      </c>
      <c r="M62" s="4">
        <f t="shared" si="1"/>
        <v>5.0666666666666664</v>
      </c>
    </row>
    <row r="63" spans="1:16" x14ac:dyDescent="0.2">
      <c r="A63">
        <f t="shared" si="0"/>
        <v>43</v>
      </c>
      <c r="J63">
        <f t="shared" si="3"/>
        <v>2</v>
      </c>
      <c r="K63" s="218">
        <f t="shared" si="4"/>
        <v>3</v>
      </c>
      <c r="L63" s="4">
        <f t="shared" si="2"/>
        <v>6.6666666666666666E-2</v>
      </c>
      <c r="M63" s="4">
        <f t="shared" si="1"/>
        <v>5.0666666666666664</v>
      </c>
    </row>
    <row r="64" spans="1:16" x14ac:dyDescent="0.2">
      <c r="A64">
        <f t="shared" si="0"/>
        <v>44</v>
      </c>
      <c r="J64">
        <f t="shared" si="3"/>
        <v>2</v>
      </c>
      <c r="K64" s="218">
        <f t="shared" si="4"/>
        <v>3</v>
      </c>
      <c r="L64" s="4">
        <f t="shared" si="2"/>
        <v>6.6666666666666666E-2</v>
      </c>
      <c r="M64" s="4">
        <f t="shared" si="1"/>
        <v>5.0666666666666664</v>
      </c>
    </row>
    <row r="65" spans="1:16" x14ac:dyDescent="0.2">
      <c r="A65">
        <f t="shared" si="0"/>
        <v>45</v>
      </c>
      <c r="J65">
        <f t="shared" si="3"/>
        <v>2</v>
      </c>
      <c r="K65" s="218">
        <f t="shared" si="4"/>
        <v>3</v>
      </c>
      <c r="L65" s="4">
        <f t="shared" si="2"/>
        <v>6.6666666666666666E-2</v>
      </c>
      <c r="M65" s="4">
        <f t="shared" si="1"/>
        <v>5.0666666666666664</v>
      </c>
    </row>
    <row r="66" spans="1:16" x14ac:dyDescent="0.2">
      <c r="A66">
        <f t="shared" si="0"/>
        <v>46</v>
      </c>
      <c r="D66" s="14"/>
      <c r="E66" s="14"/>
      <c r="J66">
        <f t="shared" si="3"/>
        <v>2</v>
      </c>
      <c r="K66" s="218">
        <f t="shared" si="4"/>
        <v>3</v>
      </c>
      <c r="L66" s="4">
        <f t="shared" si="2"/>
        <v>6.6666666666666666E-2</v>
      </c>
      <c r="M66" s="4">
        <f t="shared" si="1"/>
        <v>5.0666666666666664</v>
      </c>
    </row>
    <row r="67" spans="1:16" x14ac:dyDescent="0.2">
      <c r="A67" s="24">
        <f t="shared" si="0"/>
        <v>47</v>
      </c>
      <c r="B67" s="24"/>
      <c r="C67" s="24"/>
      <c r="D67" s="77"/>
      <c r="E67" s="77"/>
      <c r="F67" s="24"/>
      <c r="G67" s="24"/>
      <c r="H67" s="24"/>
      <c r="I67" s="24"/>
      <c r="J67" s="24"/>
      <c r="K67" s="24"/>
      <c r="L67" s="31">
        <f t="shared" si="2"/>
        <v>6.6666666666666666E-2</v>
      </c>
      <c r="M67" s="31">
        <f t="shared" si="1"/>
        <v>6.6666666666666666E-2</v>
      </c>
    </row>
    <row r="68" spans="1:16" x14ac:dyDescent="0.2">
      <c r="A68" s="7" t="s">
        <v>1</v>
      </c>
      <c r="B68" s="7">
        <f t="shared" ref="B68:L68" si="5">SUM(B34:B67)</f>
        <v>2</v>
      </c>
      <c r="C68" s="7">
        <f t="shared" si="5"/>
        <v>2</v>
      </c>
      <c r="D68" s="33">
        <f t="shared" si="5"/>
        <v>16</v>
      </c>
      <c r="E68" s="33">
        <f t="shared" si="5"/>
        <v>5</v>
      </c>
      <c r="F68" s="7">
        <f t="shared" si="5"/>
        <v>4</v>
      </c>
      <c r="G68" s="7">
        <f t="shared" si="5"/>
        <v>2.9999999999999996</v>
      </c>
      <c r="H68" s="7">
        <f t="shared" si="5"/>
        <v>7</v>
      </c>
      <c r="I68" s="7">
        <f t="shared" si="5"/>
        <v>11.999999999999998</v>
      </c>
      <c r="J68" s="7">
        <f t="shared" si="5"/>
        <v>40</v>
      </c>
      <c r="K68" s="217">
        <f t="shared" si="5"/>
        <v>60</v>
      </c>
      <c r="L68" s="7">
        <f t="shared" si="5"/>
        <v>1.9999999999999998</v>
      </c>
      <c r="M68" s="44">
        <f>SUM(B68:L68)</f>
        <v>153</v>
      </c>
      <c r="N68" s="7"/>
      <c r="O68" s="7"/>
      <c r="P68" s="7"/>
    </row>
  </sheetData>
  <phoneticPr fontId="0" type="noConversion"/>
  <pageMargins left="0.75" right="0.24" top="1" bottom="1" header="0.5" footer="0.5"/>
  <pageSetup paperSize="9" scale="83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4</vt:i4>
      </vt:variant>
    </vt:vector>
  </HeadingPairs>
  <TitlesOfParts>
    <vt:vector size="19" baseType="lpstr">
      <vt:lpstr>Jämförelse</vt:lpstr>
      <vt:lpstr>Grunduppgifter</vt:lpstr>
      <vt:lpstr>Morot 1</vt:lpstr>
      <vt:lpstr>Morot arbete 1</vt:lpstr>
      <vt:lpstr>Buntmorot 1</vt:lpstr>
      <vt:lpstr>Buntlök 1</vt:lpstr>
      <vt:lpstr>Sättlök 1</vt:lpstr>
      <vt:lpstr>Broccoli 1 </vt:lpstr>
      <vt:lpstr>Broccoli arbete 1</vt:lpstr>
      <vt:lpstr>Vitkål 1 </vt:lpstr>
      <vt:lpstr>Brytböna 1</vt:lpstr>
      <vt:lpstr>Sockerärt 1</vt:lpstr>
      <vt:lpstr>Gröngödsling 1</vt:lpstr>
      <vt:lpstr>Lantbruk</vt:lpstr>
      <vt:lpstr>Maskiner 1</vt:lpstr>
      <vt:lpstr>'Broccoli arbete 1'!Utskriftsområde</vt:lpstr>
      <vt:lpstr>'Gröngödsling 1'!Utskriftsområde</vt:lpstr>
      <vt:lpstr>'Maskiner 1'!Utskriftsområde</vt:lpstr>
      <vt:lpstr>'Morot arbete 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Tring 1 korta kulturer</dc:title>
  <dc:creator>Trädgårdsekonomi</dc:creator>
  <cp:lastModifiedBy>Admin</cp:lastModifiedBy>
  <cp:lastPrinted>2008-05-30T15:36:30Z</cp:lastPrinted>
  <dcterms:created xsi:type="dcterms:W3CDTF">1998-11-24T22:03:34Z</dcterms:created>
  <dcterms:modified xsi:type="dcterms:W3CDTF">2020-01-01T13:51:10Z</dcterms:modified>
</cp:coreProperties>
</file>